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C:\Users\mrl7116\Downloads\"/>
    </mc:Choice>
  </mc:AlternateContent>
  <xr:revisionPtr revIDLastSave="0" documentId="8_{0D37971E-C447-4232-A66E-5E8A53FB9157}" xr6:coauthVersionLast="47" xr6:coauthVersionMax="47" xr10:uidLastSave="{00000000-0000-0000-0000-000000000000}"/>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E1890" i="22"/>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CG20" i="9" l="1"/>
  <c r="DC3" i="19" s="1"/>
  <c r="D304" i="15"/>
  <c r="D1165" i="21"/>
  <c r="D139" i="21"/>
  <c r="D224" i="5"/>
  <c r="D238" i="5"/>
  <c r="D1253" i="22"/>
  <c r="D228" i="5"/>
  <c r="D157" i="14"/>
  <c r="D34" i="13"/>
  <c r="D198" i="18"/>
  <c r="D108" i="13"/>
  <c r="D308" i="15"/>
  <c r="D1249" i="22"/>
  <c r="D51"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67" i="5"/>
  <c r="D89" i="5"/>
  <c r="D108" i="5"/>
  <c r="D112" i="5"/>
  <c r="D143" i="5"/>
  <c r="D147" i="5"/>
  <c r="D151" i="5"/>
  <c r="D302" i="15"/>
  <c r="D306" i="15"/>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51" i="14"/>
  <c r="D143" i="14"/>
  <c r="D234" i="14"/>
  <c r="D490" i="14"/>
  <c r="D679" i="14"/>
  <c r="D44" i="15"/>
  <c r="D46" i="13"/>
  <c r="D74" i="13"/>
  <c r="D165" i="14"/>
  <c r="D243" i="14"/>
  <c r="D239" i="14"/>
  <c r="D235" i="14"/>
  <c r="D501" i="14"/>
  <c r="D497" i="14"/>
  <c r="D527" i="14"/>
  <c r="D686" i="14"/>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9" i="13"/>
  <c r="D42" i="13"/>
  <c r="D47" i="13"/>
  <c r="D50" i="13"/>
  <c r="D159" i="14"/>
  <c r="D394" i="14"/>
  <c r="D432" i="14"/>
  <c r="D428" i="14"/>
  <c r="D424" i="14"/>
  <c r="D420" i="14"/>
  <c r="D416" i="14"/>
  <c r="D505" i="14"/>
  <c r="D489" i="14"/>
  <c r="D535" i="14"/>
  <c r="D584" i="14"/>
  <c r="D579" i="14"/>
  <c r="D736" i="14"/>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35" i="15"/>
  <c r="D37" i="15"/>
  <c r="D38" i="15"/>
  <c r="D42" i="15"/>
  <c r="D43" i="15"/>
  <c r="D82" i="15"/>
  <c r="D107" i="15"/>
  <c r="D123" i="15"/>
  <c r="D153" i="15"/>
  <c r="D156" i="15"/>
  <c r="D157" i="15"/>
  <c r="D158"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92" i="22"/>
  <c r="D1184" i="22"/>
  <c r="D1176"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1036" i="22"/>
  <c r="D1020" i="22"/>
  <c r="D1104" i="22"/>
  <c r="D1098" i="22"/>
  <c r="D1097" i="22"/>
  <c r="D1149" i="22"/>
  <c r="D1141" i="22"/>
  <c r="D1133" i="22"/>
  <c r="D1187" i="22"/>
  <c r="D1179" i="22"/>
  <c r="D1171" i="22"/>
  <c r="D1261" i="22"/>
  <c r="D1245" i="22"/>
  <c r="D1342" i="22"/>
  <c r="D1335" i="22"/>
  <c r="D1328" i="22"/>
  <c r="D1327"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9" i="5"/>
  <c r="D78" i="5"/>
  <c r="D109" i="5"/>
  <c r="D117" i="5"/>
  <c r="D125" i="5"/>
  <c r="D145" i="5"/>
  <c r="D146" i="5"/>
  <c r="D153" i="5"/>
  <c r="D181" i="5"/>
  <c r="D182" i="5"/>
  <c r="D189" i="5"/>
  <c r="D190" i="5"/>
  <c r="D197" i="5"/>
  <c r="D219" i="5"/>
  <c r="D68" i="18"/>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36" i="18"/>
  <c r="D39" i="18"/>
  <c r="D42" i="18"/>
  <c r="D52" i="18"/>
  <c r="D71" i="18"/>
  <c r="D74" i="18"/>
  <c r="D77" i="18"/>
  <c r="D87" i="18"/>
  <c r="D90" i="18"/>
  <c r="D108" i="18"/>
  <c r="D111" i="18"/>
  <c r="D115"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82" i="18"/>
  <c r="D1671" i="21"/>
  <c r="D1679" i="21"/>
  <c r="D1687" i="21"/>
  <c r="D32" i="5"/>
  <c r="D33" i="18"/>
  <c r="D41" i="18"/>
  <c r="D49" i="18"/>
  <c r="D105" i="18"/>
  <c r="D113" i="18"/>
  <c r="D114" i="18"/>
  <c r="D129" i="18"/>
  <c r="D145" i="18"/>
  <c r="D153" i="18"/>
  <c r="D161"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65" i="22"/>
  <c r="D1864" i="22"/>
  <c r="D1857" i="22"/>
  <c r="D1856" i="22"/>
  <c r="D1777" i="22"/>
  <c r="D1800" i="22"/>
  <c r="D1799" i="22"/>
  <c r="D1796" i="22"/>
  <c r="D1795" i="22"/>
  <c r="D1747" i="22"/>
  <c r="D1746" i="22"/>
  <c r="D1739" i="22"/>
  <c r="D1763" i="22"/>
  <c r="D1762" i="22"/>
  <c r="D1755" i="22"/>
  <c r="D1754" i="22"/>
  <c r="D1724" i="22"/>
  <c r="D1723" i="22"/>
  <c r="D1720" i="22"/>
  <c r="D1719" i="22"/>
  <c r="D1716" i="22"/>
  <c r="D1715" i="22"/>
  <c r="D1712" i="22"/>
  <c r="D1711" i="22"/>
  <c r="D1708" i="22"/>
  <c r="D1707" i="22"/>
  <c r="D1704" i="22"/>
  <c r="D1703" i="22"/>
  <c r="D1709" i="22"/>
  <c r="D1705" i="22"/>
  <c r="D1701" i="22"/>
  <c r="D1679" i="22"/>
  <c r="D1678" i="22"/>
  <c r="D1671" i="22"/>
  <c r="D1670" i="22"/>
  <c r="D1663" i="22"/>
  <c r="D1686" i="22"/>
  <c r="D1685" i="22"/>
  <c r="D1649" i="22"/>
  <c r="D1645" i="22"/>
  <c r="D1641" i="22"/>
  <c r="D1637" i="22"/>
  <c r="D1633" i="22"/>
  <c r="D1629" i="22"/>
  <c r="D1625" i="22"/>
  <c r="D1587" i="22"/>
  <c r="D1611" i="22"/>
  <c r="D1607" i="22"/>
  <c r="D1603" i="22"/>
  <c r="D1599" i="22"/>
  <c r="D1595" i="22"/>
  <c r="D1591" i="22"/>
  <c r="D1590" i="22"/>
  <c r="D1572" i="22"/>
  <c r="D1571" i="22"/>
  <c r="D1568" i="22"/>
  <c r="D1567" i="22"/>
  <c r="D1564" i="22"/>
  <c r="D1563" i="22"/>
  <c r="D1560" i="22"/>
  <c r="D1559" i="22"/>
  <c r="D1549" i="22"/>
  <c r="D1573" i="22"/>
  <c r="D1569" i="22"/>
  <c r="D1565" i="22"/>
  <c r="D1561" i="22"/>
  <c r="D1557" i="22"/>
  <c r="D1556" i="22"/>
  <c r="D1534" i="22"/>
  <c r="D1533" i="22"/>
  <c r="D1530" i="22"/>
  <c r="D1529" i="22"/>
  <c r="D1526" i="22"/>
  <c r="D1525" i="22"/>
  <c r="D1522" i="22"/>
  <c r="D1521" i="22"/>
  <c r="D1518" i="22"/>
  <c r="D1511" i="22"/>
  <c r="D1535" i="22"/>
  <c r="D1531" i="22"/>
  <c r="D1527" i="22"/>
  <c r="D1523" i="22"/>
  <c r="D1519" i="22"/>
  <c r="D1497" i="22"/>
  <c r="D1496" i="22"/>
  <c r="D1489" i="22"/>
  <c r="D1488" i="22"/>
  <c r="D1481" i="22"/>
  <c r="D1480" i="22"/>
  <c r="D1479" i="22"/>
  <c r="D1476" i="22"/>
  <c r="D1475" i="22"/>
  <c r="D1477" i="22"/>
  <c r="D1473" i="22"/>
  <c r="D1485" i="22"/>
  <c r="D1484" i="22"/>
  <c r="D1435" i="22"/>
  <c r="D1459" i="22"/>
  <c r="D1455" i="22"/>
  <c r="D1451" i="22"/>
  <c r="D1447" i="22"/>
  <c r="D1443" i="22"/>
  <c r="D1438" i="22"/>
  <c r="D1417" i="22"/>
  <c r="D1409" i="22"/>
  <c r="D1404" i="22"/>
  <c r="D1400" i="22"/>
  <c r="D1421" i="22"/>
  <c r="D1413" i="22"/>
  <c r="D1359" i="22"/>
  <c r="D1382" i="22"/>
  <c r="D1378" i="22"/>
  <c r="D1374" i="22"/>
  <c r="D1370" i="22"/>
  <c r="D1366" i="22"/>
  <c r="D1344" i="22"/>
  <c r="D1343" i="22"/>
  <c r="D1340" i="22"/>
  <c r="D1337" i="22"/>
  <c r="D1333" i="22"/>
  <c r="D1329" i="22"/>
  <c r="D1325" i="22"/>
  <c r="D1321" i="22"/>
  <c r="D1291" i="22"/>
  <c r="D1290" i="22"/>
  <c r="D1283"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987" i="22"/>
  <c r="D986" i="22"/>
  <c r="D995" i="22"/>
  <c r="D991" i="22"/>
  <c r="D990" i="22"/>
  <c r="D983" i="22"/>
  <c r="D979" i="22"/>
  <c r="D965" i="22"/>
  <c r="D961" i="22"/>
  <c r="D957" i="22"/>
  <c r="D953" i="22"/>
  <c r="D949" i="22"/>
  <c r="D945" i="22"/>
  <c r="D941" i="22"/>
  <c r="D903" i="22"/>
  <c r="D889" i="22"/>
  <c r="D888" i="22"/>
  <c r="D881" i="22"/>
  <c r="D880" i="22"/>
  <c r="D873" i="22"/>
  <c r="D872" i="22"/>
  <c r="D865" i="22"/>
  <c r="D850" i="22"/>
  <c r="D849" i="22"/>
  <c r="D846" i="22"/>
  <c r="D845" i="22"/>
  <c r="D842" i="22"/>
  <c r="D841" i="22"/>
  <c r="D838" i="22"/>
  <c r="D837" i="22"/>
  <c r="D834" i="22"/>
  <c r="D833" i="22"/>
  <c r="D830" i="22"/>
  <c r="D829" i="22"/>
  <c r="D808" i="22"/>
  <c r="D797" i="22"/>
  <c r="D796" i="22"/>
  <c r="D789" i="22"/>
  <c r="D804" i="22"/>
  <c r="D803" i="22"/>
  <c r="D774" i="22"/>
  <c r="D773" i="22"/>
  <c r="D763" i="22"/>
  <c r="D759" i="22"/>
  <c r="D755" i="22"/>
  <c r="D751" i="22"/>
  <c r="D775" i="22"/>
  <c r="D770" i="22"/>
  <c r="D737" i="22"/>
  <c r="D736" i="22"/>
  <c r="D729" i="22"/>
  <c r="D728" i="22"/>
  <c r="D721" i="22"/>
  <c r="D720" i="22"/>
  <c r="D713" i="22"/>
  <c r="D699" i="22"/>
  <c r="D698" i="22"/>
  <c r="D691" i="22"/>
  <c r="D690" i="22"/>
  <c r="D683" i="22"/>
  <c r="D682" i="22"/>
  <c r="D675" i="22"/>
  <c r="D695" i="22"/>
  <c r="D694" i="22"/>
  <c r="D687" i="22"/>
  <c r="D686" i="22"/>
  <c r="D679" i="22"/>
  <c r="D678" i="22"/>
  <c r="D661" i="22"/>
  <c r="D660" i="22"/>
  <c r="D653" i="22"/>
  <c r="D652" i="22"/>
  <c r="D645" i="22"/>
  <c r="D644" i="22"/>
  <c r="D637" i="22"/>
  <c r="D619" i="22"/>
  <c r="D618" i="22"/>
  <c r="D611" i="22"/>
  <c r="D610" i="22"/>
  <c r="D603" i="22"/>
  <c r="D602" i="22"/>
  <c r="D601" i="22"/>
  <c r="D599"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23" i="22"/>
  <c r="D547" i="22"/>
  <c r="D543" i="22"/>
  <c r="D539" i="22"/>
  <c r="D535" i="22"/>
  <c r="D530" i="22"/>
  <c r="D529" i="22"/>
  <c r="D526" i="22"/>
  <c r="D493" i="22"/>
  <c r="D492" i="22"/>
  <c r="D485" i="22"/>
  <c r="D508" i="22"/>
  <c r="D507" i="22"/>
  <c r="D504" i="22"/>
  <c r="D503" i="22"/>
  <c r="D500" i="22"/>
  <c r="D499" i="22"/>
  <c r="D462" i="22"/>
  <c r="D447" i="22"/>
  <c r="D433" i="22"/>
  <c r="D429" i="22"/>
  <c r="D425" i="22"/>
  <c r="D421" i="22"/>
  <c r="D417" i="22"/>
  <c r="D413" i="22"/>
  <c r="D409" i="22"/>
  <c r="D371" i="22"/>
  <c r="D356" i="22"/>
  <c r="D355" i="22"/>
  <c r="D352" i="22"/>
  <c r="D351" i="22"/>
  <c r="D348" i="22"/>
  <c r="D347" i="22"/>
  <c r="D344" i="22"/>
  <c r="D343" i="22"/>
  <c r="D340" i="22"/>
  <c r="D339" i="22"/>
  <c r="D336" i="22"/>
  <c r="D335" i="22"/>
  <c r="D319" i="22"/>
  <c r="D318" i="22"/>
  <c r="D311" i="22"/>
  <c r="D310" i="22"/>
  <c r="D303" i="22"/>
  <c r="D302" i="22"/>
  <c r="D295" i="22"/>
  <c r="D315" i="22"/>
  <c r="D314" i="22"/>
  <c r="D307" i="22"/>
  <c r="D306" i="22"/>
  <c r="D299" i="22"/>
  <c r="D298" i="22"/>
  <c r="D280" i="22"/>
  <c r="D279" i="22"/>
  <c r="D276" i="22"/>
  <c r="D275" i="22"/>
  <c r="D272" i="22"/>
  <c r="D271" i="22"/>
  <c r="D268" i="22"/>
  <c r="D267" i="22"/>
  <c r="D264" i="22"/>
  <c r="D263" i="22"/>
  <c r="D260" i="22"/>
  <c r="D259" i="22"/>
  <c r="D257" i="22"/>
  <c r="D243" i="22"/>
  <c r="D242" i="22"/>
  <c r="D235" i="22"/>
  <c r="D234" i="22"/>
  <c r="D227" i="22"/>
  <c r="D226" i="22"/>
  <c r="D219" i="22"/>
  <c r="D181" i="22"/>
  <c r="D205" i="22"/>
  <c r="D201" i="22"/>
  <c r="D197" i="22"/>
  <c r="D193" i="22"/>
  <c r="D189" i="22"/>
  <c r="D185" i="22"/>
  <c r="D184" i="22"/>
  <c r="D159" i="22"/>
  <c r="D158" i="22"/>
  <c r="D151" i="22"/>
  <c r="D150" i="22"/>
  <c r="D143" i="22"/>
  <c r="D166" i="22"/>
  <c r="D165" i="22"/>
  <c r="D128" i="22"/>
  <c r="D127" i="22"/>
  <c r="D117" i="22"/>
  <c r="D116" i="22"/>
  <c r="D105" i="22"/>
  <c r="D129" i="22"/>
  <c r="D124" i="22"/>
  <c r="D123" i="22"/>
  <c r="D112" i="22"/>
  <c r="D87" i="22"/>
  <c r="D86" i="22"/>
  <c r="D79" i="22"/>
  <c r="D78" i="22"/>
  <c r="D74" i="22"/>
  <c r="D73" i="22"/>
  <c r="D70" i="22"/>
  <c r="D69" i="22"/>
  <c r="D37" i="22"/>
  <c r="D36" i="22"/>
  <c r="D29" i="22"/>
  <c r="D52" i="22"/>
  <c r="D51" i="22"/>
  <c r="D48" i="22"/>
  <c r="D47" i="22"/>
  <c r="D44" i="22"/>
  <c r="D43" i="22"/>
  <c r="D729" i="14"/>
  <c r="D728" i="14"/>
  <c r="D721" i="14"/>
  <c r="D720" i="14"/>
  <c r="D713"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23" i="14"/>
  <c r="D622" i="14"/>
  <c r="D615" i="14"/>
  <c r="D614" i="14"/>
  <c r="D607" i="14"/>
  <c r="D606" i="14"/>
  <c r="D599" i="14"/>
  <c r="D585" i="14"/>
  <c r="D581" i="14"/>
  <c r="D577" i="14"/>
  <c r="D573" i="14"/>
  <c r="D569" i="14"/>
  <c r="D565" i="14"/>
  <c r="D561" i="14"/>
  <c r="D547" i="14"/>
  <c r="D546" i="14"/>
  <c r="D539" i="14"/>
  <c r="D538" i="14"/>
  <c r="D531" i="14"/>
  <c r="D530" i="14"/>
  <c r="D523" i="14"/>
  <c r="D485" i="14"/>
  <c r="D508" i="14"/>
  <c r="D507" i="14"/>
  <c r="D504" i="14"/>
  <c r="D503" i="14"/>
  <c r="D500" i="14"/>
  <c r="D499" i="14"/>
  <c r="D496" i="14"/>
  <c r="D495" i="14"/>
  <c r="D492" i="14"/>
  <c r="D491" i="14"/>
  <c r="D488" i="14"/>
  <c r="D471" i="14"/>
  <c r="D470" i="14"/>
  <c r="D463" i="14"/>
  <c r="D462" i="14"/>
  <c r="D455" i="14"/>
  <c r="D454" i="14"/>
  <c r="D447" i="14"/>
  <c r="D467" i="14"/>
  <c r="D466" i="14"/>
  <c r="D459" i="14"/>
  <c r="D458" i="14"/>
  <c r="D451" i="14"/>
  <c r="D450" i="14"/>
  <c r="D433" i="14"/>
  <c r="D429" i="14"/>
  <c r="D425" i="14"/>
  <c r="D421" i="14"/>
  <c r="D417" i="14"/>
  <c r="D412" i="14"/>
  <c r="D411" i="14"/>
  <c r="D409" i="14"/>
  <c r="D395" i="14"/>
  <c r="D390" i="14"/>
  <c r="D389" i="14"/>
  <c r="D375" i="14"/>
  <c r="D374" i="14"/>
  <c r="D373" i="14"/>
  <c r="D387" i="14"/>
  <c r="D386" i="14"/>
  <c r="D371" i="14"/>
  <c r="D378" i="14"/>
  <c r="D356" i="14"/>
  <c r="D355" i="14"/>
  <c r="D352" i="14"/>
  <c r="D351" i="14"/>
  <c r="D348" i="14"/>
  <c r="D347" i="14"/>
  <c r="D344" i="14"/>
  <c r="D343" i="14"/>
  <c r="D340" i="14"/>
  <c r="D339" i="14"/>
  <c r="D336" i="14"/>
  <c r="D335" i="14"/>
  <c r="D318" i="14"/>
  <c r="D317" i="14"/>
  <c r="D314" i="14"/>
  <c r="D313" i="14"/>
  <c r="D310" i="14"/>
  <c r="D309" i="14"/>
  <c r="D306" i="14"/>
  <c r="D305" i="14"/>
  <c r="D302" i="14"/>
  <c r="D301" i="14"/>
  <c r="D298" i="14"/>
  <c r="D297" i="14"/>
  <c r="D281" i="14"/>
  <c r="D280" i="14"/>
  <c r="D273" i="14"/>
  <c r="D272" i="14"/>
  <c r="D265" i="14"/>
  <c r="D264" i="14"/>
  <c r="D257" i="14"/>
  <c r="D277" i="14"/>
  <c r="D276" i="14"/>
  <c r="D269" i="14"/>
  <c r="D268" i="14"/>
  <c r="D261" i="14"/>
  <c r="D260" i="14"/>
  <c r="D242" i="14"/>
  <c r="D241" i="14"/>
  <c r="D238" i="14"/>
  <c r="D237" i="14"/>
  <c r="D227" i="14"/>
  <c r="D226" i="14"/>
  <c r="D219" i="14"/>
  <c r="D230" i="14"/>
  <c r="D223" i="14"/>
  <c r="D222" i="14"/>
  <c r="D205" i="14"/>
  <c r="D204" i="14"/>
  <c r="D197" i="14"/>
  <c r="D196" i="14"/>
  <c r="D189" i="14"/>
  <c r="D188" i="14"/>
  <c r="D181" i="14"/>
  <c r="D166" i="14"/>
  <c r="D162" i="14"/>
  <c r="D158" i="14"/>
  <c r="D154" i="14"/>
  <c r="D150" i="14"/>
  <c r="D146" i="14"/>
  <c r="D129" i="14"/>
  <c r="D125" i="14"/>
  <c r="D121" i="14"/>
  <c r="D117" i="14"/>
  <c r="D113" i="14"/>
  <c r="D109" i="14"/>
  <c r="D90" i="14"/>
  <c r="D89" i="14"/>
  <c r="D86" i="14"/>
  <c r="D85" i="14"/>
  <c r="D82" i="14"/>
  <c r="D81" i="14"/>
  <c r="D78" i="14"/>
  <c r="D77" i="14"/>
  <c r="D74" i="14"/>
  <c r="D73" i="14"/>
  <c r="D70" i="14"/>
  <c r="D69" i="14"/>
  <c r="D29"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35" i="19"/>
  <c r="DA35" i="19"/>
  <c r="CS31" i="19"/>
  <c r="DA31" i="19"/>
  <c r="CS27" i="19"/>
  <c r="DA27" i="19"/>
  <c r="CS23" i="19"/>
  <c r="DA23" i="19"/>
  <c r="CS19" i="19"/>
  <c r="DA19" i="19"/>
  <c r="CS15" i="19"/>
  <c r="DA15" i="19"/>
  <c r="CS34" i="19"/>
  <c r="DA34" i="19"/>
  <c r="CS30" i="19"/>
  <c r="DA30" i="19"/>
  <c r="CS26" i="19"/>
  <c r="DA26" i="19"/>
  <c r="CS22" i="19"/>
  <c r="DA22" i="19"/>
  <c r="CS18" i="19"/>
  <c r="DA18" i="19"/>
  <c r="CS14" i="19"/>
  <c r="DA14"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35" i="19"/>
  <c r="CT35" i="19"/>
  <c r="CQ31" i="19"/>
  <c r="CT31" i="19"/>
  <c r="CQ27" i="19"/>
  <c r="CT27" i="19"/>
  <c r="CQ23" i="19"/>
  <c r="CT23" i="19"/>
  <c r="CQ19" i="19"/>
  <c r="CT19" i="19"/>
  <c r="CQ15" i="19"/>
  <c r="CT15" i="19"/>
  <c r="CQ34" i="19"/>
  <c r="CT34" i="19"/>
  <c r="CQ30" i="19"/>
  <c r="CT30" i="19"/>
  <c r="CQ26" i="19"/>
  <c r="CT26" i="19"/>
  <c r="CQ22" i="19"/>
  <c r="CT22" i="19"/>
  <c r="CQ18" i="19"/>
  <c r="CT18" i="19"/>
  <c r="CQ14" i="19"/>
  <c r="CT14"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35" i="19"/>
  <c r="CI35" i="19"/>
  <c r="CE31" i="19"/>
  <c r="CI31" i="19"/>
  <c r="CE27" i="19"/>
  <c r="CI27" i="19"/>
  <c r="CE23" i="19"/>
  <c r="CI23" i="19"/>
  <c r="CE19" i="19"/>
  <c r="CI19" i="19"/>
  <c r="CE15" i="19"/>
  <c r="CI15" i="19"/>
  <c r="CE34" i="19"/>
  <c r="CI34" i="19"/>
  <c r="CE30" i="19"/>
  <c r="CI30" i="19"/>
  <c r="CE26" i="19"/>
  <c r="CI26" i="19"/>
  <c r="CE22" i="19"/>
  <c r="CI22" i="19"/>
  <c r="CE18" i="19"/>
  <c r="CI18" i="19"/>
  <c r="CE14" i="19"/>
  <c r="CI14"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35" i="19"/>
  <c r="CF35" i="19"/>
  <c r="BL31" i="19"/>
  <c r="CF31" i="19"/>
  <c r="BL27" i="19"/>
  <c r="CF27" i="19"/>
  <c r="BL23" i="19"/>
  <c r="CF23" i="19"/>
  <c r="BL19" i="19"/>
  <c r="CF19" i="19"/>
  <c r="BL15" i="19"/>
  <c r="CF15" i="19"/>
  <c r="BL34" i="19"/>
  <c r="CF34" i="19"/>
  <c r="BL30" i="19"/>
  <c r="CF30" i="19"/>
  <c r="BL26" i="19"/>
  <c r="CF26" i="19"/>
  <c r="BL22" i="19"/>
  <c r="CF22" i="19"/>
  <c r="BL18" i="19"/>
  <c r="CF18" i="19"/>
  <c r="BL14" i="19"/>
  <c r="CF14"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35" i="19"/>
  <c r="AZ35" i="19"/>
  <c r="BA31" i="19"/>
  <c r="AZ31" i="19"/>
  <c r="BA27" i="19"/>
  <c r="AZ27" i="19"/>
  <c r="BA23" i="19"/>
  <c r="AZ23" i="19"/>
  <c r="BA19" i="19"/>
  <c r="AZ19" i="19"/>
  <c r="BA15" i="19"/>
  <c r="AZ15" i="19"/>
  <c r="BA34" i="19"/>
  <c r="AZ34" i="19"/>
  <c r="BA30" i="19"/>
  <c r="AZ30" i="19"/>
  <c r="BA26" i="19"/>
  <c r="AZ26" i="19"/>
  <c r="BA22" i="19"/>
  <c r="AZ22" i="19"/>
  <c r="BA18" i="19"/>
  <c r="AZ18" i="19"/>
  <c r="BA14" i="19"/>
  <c r="AZ14"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35" i="19"/>
  <c r="AE35" i="19"/>
  <c r="AF31" i="19"/>
  <c r="AE31" i="19"/>
  <c r="AF27" i="19"/>
  <c r="AE27" i="19"/>
  <c r="AF23" i="19"/>
  <c r="AE23" i="19"/>
  <c r="AF19" i="19"/>
  <c r="AE19" i="19"/>
  <c r="AF15" i="19"/>
  <c r="AE15"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35" i="19"/>
  <c r="AG35" i="19"/>
  <c r="AH31" i="19"/>
  <c r="AG31" i="19"/>
  <c r="AH27" i="19"/>
  <c r="AG27" i="19"/>
  <c r="AH23" i="19"/>
  <c r="AG23" i="19"/>
  <c r="AH19" i="19"/>
  <c r="AG19" i="19"/>
  <c r="AH15" i="19"/>
  <c r="AG15" i="19"/>
  <c r="AH34" i="19"/>
  <c r="AG34" i="19"/>
  <c r="AH30" i="19"/>
  <c r="AG30" i="19"/>
  <c r="AH26" i="19"/>
  <c r="AG26" i="19"/>
  <c r="AH22" i="19"/>
  <c r="AG22" i="19"/>
  <c r="AH18" i="19"/>
  <c r="AG18" i="19"/>
  <c r="AH14" i="19"/>
  <c r="AG14"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35" i="19"/>
  <c r="AI35" i="19"/>
  <c r="AJ31" i="19"/>
  <c r="AI31" i="19"/>
  <c r="AJ27" i="19"/>
  <c r="AI27" i="19"/>
  <c r="AJ23" i="19"/>
  <c r="AI23" i="19"/>
  <c r="AJ19" i="19"/>
  <c r="AI19" i="19"/>
  <c r="AJ15" i="19"/>
  <c r="AI15" i="19"/>
  <c r="AJ34" i="19"/>
  <c r="AI34" i="19"/>
  <c r="AJ30" i="19"/>
  <c r="AI30" i="19"/>
  <c r="AJ26" i="19"/>
  <c r="AI26" i="19"/>
  <c r="AJ22" i="19"/>
  <c r="AI22" i="19"/>
  <c r="AJ18" i="19"/>
  <c r="AI18" i="19"/>
  <c r="AJ14" i="19"/>
  <c r="AI14"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35" i="19"/>
  <c r="AK35" i="19"/>
  <c r="AL31" i="19"/>
  <c r="AK31" i="19"/>
  <c r="AL27" i="19"/>
  <c r="AK27" i="19"/>
  <c r="AL23" i="19"/>
  <c r="AK23" i="19"/>
  <c r="AL19" i="19"/>
  <c r="AK19" i="19"/>
  <c r="AL15" i="19"/>
  <c r="AK15" i="19"/>
  <c r="AL34" i="19"/>
  <c r="AK34" i="19"/>
  <c r="AL30" i="19"/>
  <c r="AK30" i="19"/>
  <c r="AL26" i="19"/>
  <c r="AK26" i="19"/>
  <c r="AL22" i="19"/>
  <c r="AK22" i="19"/>
  <c r="AL18" i="19"/>
  <c r="AK18" i="19"/>
  <c r="AL14" i="19"/>
  <c r="AK14"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35" i="19"/>
  <c r="AM35" i="19"/>
  <c r="AN31" i="19"/>
  <c r="AM31" i="19"/>
  <c r="AN27" i="19"/>
  <c r="AM27" i="19"/>
  <c r="AN23" i="19"/>
  <c r="AM23" i="19"/>
  <c r="AN19" i="19"/>
  <c r="AM19" i="19"/>
  <c r="AN15" i="19"/>
  <c r="AM15"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35" i="19"/>
  <c r="AO31" i="19"/>
  <c r="AO27" i="19"/>
  <c r="AO23" i="19"/>
  <c r="AO19" i="19"/>
  <c r="AO15"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G25" i="9" a="1"/>
  <c r="T21" i="9" a="1"/>
  <c r="K20" i="22"/>
  <c r="CN20" i="9" a="1"/>
  <c r="CF23" i="9" a="1"/>
  <c r="BV24" i="9" a="1"/>
  <c r="N23" i="9" a="1"/>
  <c r="AX22" i="9" a="1"/>
  <c r="CB22" i="9" a="1"/>
  <c r="AE23" i="9" a="1"/>
  <c r="BC22" i="9" a="1"/>
  <c r="AB21" i="9" a="1"/>
  <c r="AL26" i="9" a="1"/>
  <c r="E23" i="9" a="1"/>
  <c r="AA29" i="9" a="1"/>
  <c r="BE20" i="9" a="1"/>
  <c r="AE21" i="9" a="1"/>
  <c r="AG20" i="9" a="1"/>
  <c r="CP26" i="9" a="1"/>
  <c r="AK27" i="9" a="1"/>
  <c r="AC25" i="9" a="1"/>
  <c r="CP24" i="9" a="1"/>
  <c r="BK29" i="9" a="1"/>
  <c r="BG24" i="9" a="1"/>
  <c r="CH29" i="9" a="1"/>
  <c r="AX25" i="9" a="1"/>
  <c r="F21" i="9" a="1"/>
  <c r="K324" i="14"/>
  <c r="BG26" i="9" a="1"/>
  <c r="CC25" i="9" a="1"/>
  <c r="K1312" i="22"/>
  <c r="T29" i="9" a="1"/>
  <c r="K704" i="14"/>
  <c r="AY23" i="9" a="1"/>
  <c r="K362" i="14"/>
  <c r="AS24" i="9" a="1"/>
  <c r="AI23" i="9" a="1"/>
  <c r="AV20" i="9" a="1"/>
  <c r="AY26" i="9" a="1"/>
  <c r="BF27" i="9" a="1"/>
  <c r="BO24" i="9" a="1"/>
  <c r="V26" i="9" a="1"/>
  <c r="AG25" i="9" a="1"/>
  <c r="AS27" i="9" a="1"/>
  <c r="M20" i="9" a="1"/>
  <c r="P25" i="9" a="1"/>
  <c r="CK29" i="9" a="1"/>
  <c r="AM20" i="9" a="1"/>
  <c r="AS20" i="9" a="1"/>
  <c r="CP23" i="9" a="1"/>
  <c r="BL21" i="9" a="1"/>
  <c r="W26" i="9" a="1"/>
  <c r="K134" i="18"/>
  <c r="BG29" i="9" a="1"/>
  <c r="BN21" i="9" a="1"/>
  <c r="BU20" i="9" a="1"/>
  <c r="AV27" i="9" a="1"/>
  <c r="CQ21" i="9" a="1"/>
  <c r="V20" i="9" a="1"/>
  <c r="U22" i="9" a="1"/>
  <c r="O21" i="9" a="1"/>
  <c r="U29" i="9" a="1"/>
  <c r="AV26" i="9" a="1"/>
  <c r="AQ20" i="9" a="1"/>
  <c r="X27" i="9" a="1"/>
  <c r="BN25" i="9" a="1"/>
  <c r="AO26" i="9" a="1"/>
  <c r="BF24" i="9" a="1"/>
  <c r="AW21" i="9" a="1"/>
  <c r="BK27" i="9" a="1"/>
  <c r="BC21" i="9" a="1"/>
  <c r="Q22" i="9" a="1"/>
  <c r="F27" i="9" a="1"/>
  <c r="AQ29" i="9" a="1"/>
  <c r="AI29" i="9" a="1"/>
  <c r="BU26" i="9" a="1"/>
  <c r="Z21" i="9" a="1"/>
  <c r="CF25" i="9" a="1"/>
  <c r="K96" i="18"/>
  <c r="K58" i="15"/>
  <c r="H23" i="9" a="1"/>
  <c r="CK24" i="9" a="1"/>
  <c r="AF21" i="9" a="1"/>
  <c r="CD28" i="9" a="1"/>
  <c r="AJ29" i="9" a="1"/>
  <c r="AO25" i="9" a="1"/>
  <c r="AB22" i="9" a="1"/>
  <c r="BM25" i="9" a="1"/>
  <c r="BX21" i="9" a="1"/>
  <c r="CB21" i="9" a="1"/>
  <c r="BO20" i="9" a="1"/>
  <c r="R29" i="9" a="1"/>
  <c r="BW21" i="9" a="1"/>
  <c r="AX23" i="9" a="1"/>
  <c r="K1616" i="22"/>
  <c r="K1236" i="22"/>
  <c r="BI23" i="9" a="1"/>
  <c r="CL23" i="9" a="1"/>
  <c r="BN24" i="9" a="1"/>
  <c r="CK21" i="9" a="1"/>
  <c r="AN23" i="9" a="1"/>
  <c r="AT22" i="9" a="1"/>
  <c r="CJ22" i="9" a="1"/>
  <c r="O27" i="9" a="1"/>
  <c r="BW27" i="9" a="1"/>
  <c r="Z22" i="9" a="1"/>
  <c r="AK25" i="9" a="1"/>
  <c r="AF28" i="9" a="1"/>
  <c r="AR24" i="9" a="1"/>
  <c r="BF22" i="9" a="1"/>
  <c r="Q20" i="9" a="1"/>
  <c r="AM29" i="9" a="1"/>
  <c r="AH29" i="9" a="1"/>
  <c r="BY25" i="9" a="1"/>
  <c r="BW26" i="9" a="1"/>
  <c r="BL29" i="9" a="1"/>
  <c r="K438" i="22"/>
  <c r="BP23" i="9" a="1"/>
  <c r="AG21" i="9" a="1"/>
  <c r="BQ20" i="9" a="1"/>
  <c r="M21" i="9" a="1"/>
  <c r="I23" i="9" a="1"/>
  <c r="K400" i="22"/>
  <c r="Q23" i="9" a="1"/>
  <c r="O29" i="9" a="1"/>
  <c r="F22" i="9" a="1"/>
  <c r="BV27" i="9" a="1"/>
  <c r="BT21" i="9" a="1"/>
  <c r="BJ21" i="9" a="1"/>
  <c r="AE26" i="9" a="1"/>
  <c r="CA22" i="9" a="1"/>
  <c r="AF29" i="9" a="1"/>
  <c r="AJ21" i="9" a="1"/>
  <c r="CR24" i="9" a="1"/>
  <c r="AY25" i="9" a="1"/>
  <c r="AS22" i="9" a="1"/>
  <c r="BR27" i="9" a="1"/>
  <c r="Y24" i="9" a="1"/>
  <c r="CG25" i="9" a="1"/>
  <c r="U23" i="9" a="1"/>
  <c r="BC23" i="9" a="1"/>
  <c r="AX29" i="9" a="1"/>
  <c r="K1084" i="22"/>
  <c r="AF23" i="9" a="1"/>
  <c r="BU24" i="9" a="1"/>
  <c r="K248" i="14"/>
  <c r="CF22" i="9" a="1"/>
  <c r="AG26" i="9" a="1"/>
  <c r="K514" i="14"/>
  <c r="J28" i="9" a="1"/>
  <c r="BU29" i="9" a="1"/>
  <c r="AC29" i="9" a="1"/>
  <c r="AP29" i="9" a="1"/>
  <c r="BM22" i="9" a="1"/>
  <c r="F24" i="9" a="1"/>
  <c r="K1426" i="22"/>
  <c r="H29" i="9" a="1"/>
  <c r="K1350" i="22"/>
  <c r="AX20" i="9" a="1"/>
  <c r="BV23" i="9" a="1"/>
  <c r="CA24" i="9" a="1"/>
  <c r="BN20" i="9" a="1"/>
  <c r="BL23" i="9" a="1"/>
  <c r="CC29" i="9" a="1"/>
  <c r="K172" i="14"/>
  <c r="CH24" i="9" a="1"/>
  <c r="CK22" i="9" a="1"/>
  <c r="K172" i="15"/>
  <c r="H22" i="9" a="1"/>
  <c r="BL24" i="9" a="1"/>
  <c r="K134" i="5"/>
  <c r="AD25" i="9" a="1"/>
  <c r="BA24" i="9" a="1"/>
  <c r="AR20" i="9" a="1"/>
  <c r="AN20" i="9" a="1"/>
  <c r="BC26" i="9" a="1"/>
  <c r="AD26" i="9" a="1"/>
  <c r="Y21" i="9" a="1"/>
  <c r="X29" i="9" a="1"/>
  <c r="AT23" i="9" a="1"/>
  <c r="AO28" i="9" a="1"/>
  <c r="CB20" i="9" a="1"/>
  <c r="BZ24" i="9" a="1"/>
  <c r="L24" i="9" a="1"/>
  <c r="BZ27" i="9" a="1"/>
  <c r="BZ28" i="9" a="1"/>
  <c r="F28" i="9" a="1"/>
  <c r="CR26" i="9" a="1"/>
  <c r="BV26" i="9" a="1"/>
  <c r="AE27" i="9" a="1"/>
  <c r="K248" i="15"/>
  <c r="CO22" i="9" a="1"/>
  <c r="AM21" i="9" a="1"/>
  <c r="BO22" i="9" a="1"/>
  <c r="BJ20" i="9" a="1"/>
  <c r="BX20" i="9" a="1"/>
  <c r="CA27" i="9" a="1"/>
  <c r="BQ27" i="9" a="1"/>
  <c r="BB22" i="9" a="1"/>
  <c r="CM26" i="9" a="1"/>
  <c r="BH29" i="9" a="1"/>
  <c r="AQ24" i="9" a="1"/>
  <c r="CG26" i="9" a="1"/>
  <c r="N26" i="9" a="1"/>
  <c r="AW25" i="9" a="1"/>
  <c r="AE29" i="9" a="1"/>
  <c r="CC22" i="9" a="1"/>
  <c r="K210" i="22"/>
  <c r="AL25" i="9" a="1"/>
  <c r="BZ29" i="9" a="1"/>
  <c r="BO27" i="9" a="1"/>
  <c r="BM29" i="9" a="1"/>
  <c r="BN29" i="9" a="1"/>
  <c r="S21" i="9" a="1"/>
  <c r="Q25" i="9" a="1"/>
  <c r="CM29" i="9" a="1"/>
  <c r="CJ25" i="9" a="1"/>
  <c r="Z25" i="9" a="1"/>
  <c r="CK28" i="9" a="1"/>
  <c r="AO20" i="9" a="1"/>
  <c r="AJ22" i="9" a="1"/>
  <c r="BJ29" i="9" a="1"/>
  <c r="E27" i="9" a="1"/>
  <c r="G24" i="9" a="1"/>
  <c r="AX21" i="9" a="1"/>
  <c r="H20" i="9" a="1"/>
  <c r="CI22" i="9" a="1"/>
  <c r="BW29" i="9" a="1"/>
  <c r="E20" i="9" a="1"/>
  <c r="Q24" i="9" a="1"/>
  <c r="AD24" i="9" a="1"/>
  <c r="BJ22" i="9" a="1"/>
  <c r="BS22" i="9" a="1"/>
  <c r="AH28" i="9" a="1"/>
  <c r="Q28" i="9" a="1"/>
  <c r="AV29" i="9" a="1"/>
  <c r="AQ26" i="9" a="1"/>
  <c r="P29" i="9" a="1"/>
  <c r="K58" i="5"/>
  <c r="R25" i="9" a="1"/>
  <c r="Z20" i="9" a="1"/>
  <c r="BJ28" i="9" a="1"/>
  <c r="CN28" i="9" a="1"/>
  <c r="BK26" i="9" a="1"/>
  <c r="AJ26" i="9" a="1"/>
  <c r="CA20" i="9" a="1"/>
  <c r="V24" i="9" a="1"/>
  <c r="CA21" i="9" a="1"/>
  <c r="AS28" i="9" a="1"/>
  <c r="M25" i="9" a="1"/>
  <c r="AE25" i="9" a="1"/>
  <c r="CQ24" i="9" a="1"/>
  <c r="E24" i="9" a="1"/>
  <c r="AB27" i="9" a="1"/>
  <c r="BP28" i="9" a="1"/>
  <c r="L29" i="9" a="1"/>
  <c r="K1122" i="22"/>
  <c r="CC20" i="9" a="1"/>
  <c r="BF28" i="9" a="1"/>
  <c r="CR29" i="9" a="1"/>
  <c r="Y20" i="9" a="1"/>
  <c r="BE24" i="9" a="1"/>
  <c r="BG22" i="9" a="1"/>
  <c r="O22" i="9" a="1"/>
  <c r="E25" i="9" a="1"/>
  <c r="CC28" i="9" a="1"/>
  <c r="AN26" i="9" a="1"/>
  <c r="P23" i="9" a="1"/>
  <c r="CO27" i="9" a="1"/>
  <c r="AR29" i="9" a="1"/>
  <c r="BC24" i="9" a="1"/>
  <c r="BZ22" i="9" a="1"/>
  <c r="BT29" i="9" a="1"/>
  <c r="BO25" i="9" a="1"/>
  <c r="AN24" i="9" a="1"/>
  <c r="AF24" i="9" a="1"/>
  <c r="R26" i="9" a="1"/>
  <c r="K28" i="9" a="1"/>
  <c r="CR28" i="9" a="1"/>
  <c r="BJ23" i="9" a="1"/>
  <c r="BM26" i="9" a="1"/>
  <c r="K23" i="9" a="1"/>
  <c r="K476" i="22"/>
  <c r="AG27" i="9" a="1"/>
  <c r="X21" i="9" a="1"/>
  <c r="BH22" i="9" a="1"/>
  <c r="AZ24" i="9" a="1"/>
  <c r="H27" i="9" a="1"/>
  <c r="P24" i="9" a="1"/>
  <c r="BP21" i="9" a="1"/>
  <c r="AY28" i="9" a="1"/>
  <c r="AS25" i="9" a="1"/>
  <c r="T22" i="9" a="1"/>
  <c r="K96" i="13"/>
  <c r="BB23" i="9" a="1"/>
  <c r="G21" i="9" a="1"/>
  <c r="K704" i="22"/>
  <c r="CI21" i="9" a="1"/>
  <c r="AK29" i="9" a="1"/>
  <c r="AA22" i="9" a="1"/>
  <c r="T24" i="9" a="1"/>
  <c r="BN26" i="9" a="1"/>
  <c r="Y29" i="9" a="1"/>
  <c r="BY26" i="9" a="1"/>
  <c r="AW22" i="9" a="1"/>
  <c r="R22" i="9" a="1"/>
  <c r="Q27" i="9" a="1"/>
  <c r="K20" i="5"/>
  <c r="AM25" i="9" a="1"/>
  <c r="G25" i="9" a="1"/>
  <c r="BK28" i="9" a="1"/>
  <c r="CE23" i="9" a="1"/>
  <c r="BF26" i="9" a="1"/>
  <c r="U27" i="9" a="1"/>
  <c r="K96" i="22"/>
  <c r="BK25" i="9" a="1"/>
  <c r="AC20" i="9" a="1"/>
  <c r="W27" i="9" a="1"/>
  <c r="P28" i="9" a="1"/>
  <c r="CP25" i="9" a="1"/>
  <c r="CP22" i="9" a="1"/>
  <c r="Y27" i="9" a="1"/>
  <c r="CG23" i="9" a="1"/>
  <c r="CQ25" i="9" a="1"/>
  <c r="K134" i="15"/>
  <c r="AO24" i="9" a="1"/>
  <c r="BA26" i="9" a="1"/>
  <c r="M24" i="9" a="1"/>
  <c r="AY24" i="9" a="1"/>
  <c r="CB28" i="9" a="1"/>
  <c r="BZ25" i="9" a="1"/>
  <c r="CC26" i="9" a="1"/>
  <c r="AM23" i="9" a="1"/>
  <c r="AI24" i="9" a="1"/>
  <c r="AR21" i="9" a="1"/>
  <c r="CE22" i="9" a="1"/>
  <c r="AR28" i="9" a="1"/>
  <c r="CC27" i="9" a="1"/>
  <c r="AD29" i="9" a="1"/>
  <c r="M26" i="9" a="1"/>
  <c r="CE25" i="9" a="1"/>
  <c r="CF29" i="9" a="1"/>
  <c r="CB23" i="9" a="1"/>
  <c r="W29" i="9" a="1"/>
  <c r="AZ26" i="9" a="1"/>
  <c r="I25" i="9" a="1"/>
  <c r="P27" i="9" a="1"/>
  <c r="Y26" i="9" a="1"/>
  <c r="K1768" i="22"/>
  <c r="J21" i="9" a="1"/>
  <c r="K20" i="14"/>
  <c r="AO23" i="9" a="1"/>
  <c r="K590" i="22"/>
  <c r="AS23" i="9" a="1"/>
  <c r="AJ24" i="9" a="1"/>
  <c r="BK23" i="9" a="1"/>
  <c r="H25" i="9" a="1"/>
  <c r="K58" i="22"/>
  <c r="T25" i="9" a="1"/>
  <c r="AM28" i="9" a="1"/>
  <c r="K552" i="14"/>
  <c r="K21" i="9" a="1"/>
  <c r="V21" i="9" a="1"/>
  <c r="AV28" i="9" a="1"/>
  <c r="Y23" i="9" a="1"/>
  <c r="BK22" i="9" a="1"/>
  <c r="AD27" i="9" a="1"/>
  <c r="BT27" i="9" a="1"/>
  <c r="AG23" i="9" a="1"/>
  <c r="BV25" i="9" a="1"/>
  <c r="F29" i="9" a="1"/>
  <c r="AW20" i="9" a="1"/>
  <c r="AL29" i="9" a="1"/>
  <c r="K818" i="22"/>
  <c r="BW23" i="9" a="1"/>
  <c r="AT25" i="9" a="1"/>
  <c r="K362" i="22"/>
  <c r="CA26" i="9" a="1"/>
  <c r="BR21" i="9" a="1"/>
  <c r="K22" i="9" a="1"/>
  <c r="U20" i="9" a="1"/>
  <c r="AY22" i="9" a="1"/>
  <c r="CJ27" i="9" a="1"/>
  <c r="BX28" i="9" a="1"/>
  <c r="AB29" i="9" a="1"/>
  <c r="BH23" i="9" a="1"/>
  <c r="W23" i="9" a="1"/>
  <c r="CH22" i="9" a="1"/>
  <c r="I24" i="9" a="1"/>
  <c r="CD24" i="9" a="1"/>
  <c r="K1540" i="22"/>
  <c r="T26" i="9" a="1"/>
  <c r="K1046" i="22"/>
  <c r="AW24" i="9" a="1"/>
  <c r="AR22" i="9" a="1"/>
  <c r="L21" i="9" a="1"/>
  <c r="AW29" i="9" a="1"/>
  <c r="BH24" i="9" a="1"/>
  <c r="F20" i="9" a="1"/>
  <c r="M29" i="9" a="1"/>
  <c r="CD25" i="9" a="1"/>
  <c r="CM20" i="9" a="1"/>
  <c r="BB29" i="9" a="1"/>
  <c r="N25" i="9" a="1"/>
  <c r="U28" i="9" a="1"/>
  <c r="M22" i="9" a="1"/>
  <c r="CQ27" i="9" a="1"/>
  <c r="CI25" i="9" a="1"/>
  <c r="AW23" i="9" a="1"/>
  <c r="F26" i="9" a="1"/>
  <c r="BJ25" i="9" a="1"/>
  <c r="AR26" i="9" a="1"/>
  <c r="Z29" i="9" a="1"/>
  <c r="V28" i="9" a="1"/>
  <c r="CG24" i="9" a="1"/>
  <c r="AJ23" i="9" a="1"/>
  <c r="BS26" i="9" a="1"/>
  <c r="AN22" i="9" a="1"/>
  <c r="AG28" i="9" a="1"/>
  <c r="CA28" i="9" a="1"/>
  <c r="N21" i="9" a="1"/>
  <c r="BD24" i="9" a="1"/>
  <c r="AI21" i="9" a="1"/>
  <c r="BW20" i="9" a="1"/>
  <c r="AS29" i="9" a="1"/>
  <c r="CK23" i="9" a="1"/>
  <c r="W20" i="9" a="1"/>
  <c r="K666" i="22"/>
  <c r="BO23" i="9" a="1"/>
  <c r="BU22" i="9" a="1"/>
  <c r="CL27" i="9" a="1"/>
  <c r="K96" i="15"/>
  <c r="CN27" i="9" a="1"/>
  <c r="AP26" i="9" a="1"/>
  <c r="BI20" i="9" a="1"/>
  <c r="AP20" i="9" a="1"/>
  <c r="W28" i="9" a="1"/>
  <c r="CE20" i="9" a="1"/>
  <c r="K1844" i="22"/>
  <c r="J20" i="9" a="1"/>
  <c r="BE21" i="9" a="1"/>
  <c r="BB21" i="9" a="1"/>
  <c r="H21" i="9" a="1"/>
  <c r="J26" i="9" a="1"/>
  <c r="K1388" i="22"/>
  <c r="BV22" i="9" a="1"/>
  <c r="X23" i="9" a="1"/>
  <c r="Z26" i="9" a="1"/>
  <c r="AU28" i="9" a="1"/>
  <c r="BM23" i="9" a="1"/>
  <c r="BH27" i="9" a="1"/>
  <c r="BA22" i="9" a="1"/>
  <c r="F23" i="9" a="1"/>
  <c r="K286" i="22"/>
  <c r="AB25" i="9" a="1"/>
  <c r="BB27" i="9" a="1"/>
  <c r="BN28" i="9" a="1"/>
  <c r="BB26" i="9" a="1"/>
  <c r="AU25" i="9" a="1"/>
  <c r="K96" i="14"/>
  <c r="BS29" i="9" a="1"/>
  <c r="O26" i="9" a="1"/>
  <c r="BR28" i="9" a="1"/>
  <c r="K172" i="18"/>
  <c r="BG23" i="9" a="1"/>
  <c r="X22" i="9" a="1"/>
  <c r="CD23" i="9" a="1"/>
  <c r="K26" i="9" a="1"/>
  <c r="E26" i="9" a="1"/>
  <c r="CN29" i="9" a="1"/>
  <c r="AH23" i="9" a="1"/>
  <c r="K20" i="13"/>
  <c r="BU25" i="9" a="1"/>
  <c r="G27" i="9" a="1"/>
  <c r="CK20" i="9" a="1"/>
  <c r="H26" i="9" a="1"/>
  <c r="BF21" i="9" a="1"/>
  <c r="BQ24" i="9" a="1"/>
  <c r="CJ28" i="9" a="1"/>
  <c r="CE26" i="9" a="1"/>
  <c r="CB29" i="9" a="1"/>
  <c r="AM24" i="9" a="1"/>
  <c r="CF26" i="9" a="1"/>
  <c r="O28" i="9" a="1"/>
  <c r="AH21" i="9" a="1"/>
  <c r="BN23" i="9" a="1"/>
  <c r="BG20" i="9" a="1"/>
  <c r="CJ21" i="9" a="1"/>
  <c r="CH25" i="9" a="1"/>
  <c r="CI28" i="9" a="1"/>
  <c r="BA20" i="9" a="1"/>
  <c r="AN25" i="9" a="1"/>
  <c r="CR20" i="9" a="1"/>
  <c r="G22" i="9" a="1"/>
  <c r="BY29" i="9" a="1"/>
  <c r="AX28" i="9" a="1"/>
  <c r="AY29" i="9" a="1"/>
  <c r="BD22" i="9" a="1"/>
  <c r="AS26" i="9" a="1"/>
  <c r="AP25" i="9" a="1"/>
  <c r="AJ28" i="9" a="1"/>
  <c r="L25" i="9" a="1"/>
  <c r="BS20" i="9" a="1"/>
  <c r="P21" i="9" a="1"/>
  <c r="CJ29" i="9" a="1"/>
  <c r="CL25" i="9" a="1"/>
  <c r="AO22" i="9" a="1"/>
  <c r="AQ27" i="9" a="1"/>
  <c r="AL21" i="9" a="1"/>
  <c r="AJ27" i="9" a="1"/>
  <c r="X20" i="9" a="1"/>
  <c r="BE26" i="9" a="1"/>
  <c r="K96" i="5"/>
  <c r="CJ23" i="9" a="1"/>
  <c r="AK28" i="9" a="1"/>
  <c r="BR29" i="9" a="1"/>
  <c r="CD20" i="9" a="1"/>
  <c r="Y22" i="9" a="1"/>
  <c r="AB23" i="9" a="1"/>
  <c r="AD20" i="9" a="1"/>
  <c r="S29" i="9" a="1"/>
  <c r="AH26" i="9" a="1"/>
  <c r="AP21" i="9" a="1"/>
  <c r="AH24" i="9" a="1"/>
  <c r="AX26" i="9" a="1"/>
  <c r="AX24" i="9" a="1"/>
  <c r="AC24" i="9" a="1"/>
  <c r="CN25" i="9" a="1"/>
  <c r="BX26" i="9" a="1"/>
  <c r="AY27" i="9" a="1"/>
  <c r="Q29" i="9" a="1"/>
  <c r="AG22" i="9" a="1"/>
  <c r="AN28" i="9" a="1"/>
  <c r="AE22" i="9" a="1"/>
  <c r="K1502" i="22"/>
  <c r="CH23" i="9" a="1"/>
  <c r="AB26" i="9" a="1"/>
  <c r="BR26" i="9" a="1"/>
  <c r="AH22" i="9" a="1"/>
  <c r="BX25" i="9" a="1"/>
  <c r="E22" i="9" a="1"/>
  <c r="K1578" i="22"/>
  <c r="X25" i="9" a="1"/>
  <c r="I21" i="9" a="1"/>
  <c r="K58" i="18"/>
  <c r="CR22" i="9" a="1"/>
  <c r="BL27" i="9" a="1"/>
  <c r="BM27" i="9" a="1"/>
  <c r="K894" i="22"/>
  <c r="BT26" i="9" a="1"/>
  <c r="BZ26" i="9" a="1"/>
  <c r="BH25" i="9" a="1"/>
  <c r="BH20" i="9" a="1"/>
  <c r="AP23" i="9" a="1"/>
  <c r="AZ21" i="9" a="1"/>
  <c r="BN22" i="9" a="1"/>
  <c r="CP29" i="9" a="1"/>
  <c r="AW28" i="9" a="1"/>
  <c r="AB28" i="9" a="1"/>
  <c r="BZ23" i="9" a="1"/>
  <c r="AI27" i="9" a="1"/>
  <c r="BR25" i="9" a="1"/>
  <c r="AH25" i="9" a="1"/>
  <c r="AD21" i="9" a="1"/>
  <c r="AE20" i="9" a="1"/>
  <c r="AV22" i="9" a="1"/>
  <c r="V22" i="9" a="1"/>
  <c r="CJ26" i="9" a="1"/>
  <c r="AK22" i="9" a="1"/>
  <c r="AI20" i="9" a="1"/>
  <c r="K438" i="14"/>
  <c r="K286" i="15"/>
  <c r="BS28" i="9" a="1"/>
  <c r="BD26" i="9" a="1"/>
  <c r="AK21" i="9" a="1"/>
  <c r="BM24" i="9" a="1"/>
  <c r="AL24" i="9" a="1"/>
  <c r="CQ26" i="9" a="1"/>
  <c r="S20" i="9" a="1"/>
  <c r="AW26" i="9" a="1"/>
  <c r="CL26" i="9" a="1"/>
  <c r="BS27" i="9" a="1"/>
  <c r="U21" i="9" a="1"/>
  <c r="CA23" i="9" a="1"/>
  <c r="BA25" i="9" a="1"/>
  <c r="CO28" i="9" a="1"/>
  <c r="G29" i="9" a="1"/>
  <c r="AH20" i="9" a="1"/>
  <c r="K628" i="14"/>
  <c r="CF24" i="9" a="1"/>
  <c r="K20" i="9" a="1"/>
  <c r="X28" i="9" a="1"/>
  <c r="I29" i="9" a="1"/>
  <c r="CL24" i="9" a="1"/>
  <c r="CA29" i="9" a="1"/>
  <c r="AG29" i="9" a="1"/>
  <c r="W24" i="9" a="1"/>
  <c r="K1464" i="22"/>
  <c r="BD21" i="9" a="1"/>
  <c r="AP27" i="9" a="1"/>
  <c r="AR25" i="9" a="1"/>
  <c r="AY21" i="9" a="1"/>
  <c r="AN21" i="9" a="1"/>
  <c r="BP22" i="9" a="1"/>
  <c r="AZ29" i="9" a="1"/>
  <c r="CQ28" i="9" a="1"/>
  <c r="BT25" i="9" a="1"/>
  <c r="AI22" i="9" a="1"/>
  <c r="AB20" i="9" a="1"/>
  <c r="BT24" i="9" a="1"/>
  <c r="BV29" i="9" a="1"/>
  <c r="BB24" i="9" a="1"/>
  <c r="BE25" i="9" a="1"/>
  <c r="CI27" i="9" a="1"/>
  <c r="K1730" i="22"/>
  <c r="K172" i="5"/>
  <c r="BQ26" i="9" a="1"/>
  <c r="X26" i="9" a="1"/>
  <c r="CO25" i="9" a="1"/>
  <c r="CR27" i="9" a="1"/>
  <c r="AU21" i="9" a="1"/>
  <c r="AG24" i="9" a="1"/>
  <c r="CK25" i="9" a="1"/>
  <c r="BK20" i="9" a="1"/>
  <c r="K1274" i="22"/>
  <c r="AA24" i="9" a="1"/>
  <c r="J24" i="9" a="1"/>
  <c r="AC27" i="9" a="1"/>
  <c r="AQ22" i="9" a="1"/>
  <c r="CM21" i="9" a="1"/>
  <c r="K324" i="15"/>
  <c r="L23" i="9" a="1"/>
  <c r="BP24" i="9" a="1"/>
  <c r="CD21" i="9" a="1"/>
  <c r="BI22" i="9" a="1"/>
  <c r="CI24" i="9" a="1"/>
  <c r="K780" i="22"/>
  <c r="BM28" i="9" a="1"/>
  <c r="CN24" i="9" a="1"/>
  <c r="AZ22" i="9" a="1"/>
  <c r="O23" i="9" a="1"/>
  <c r="BA23" i="9" a="1"/>
  <c r="CB24" i="9" a="1"/>
  <c r="CG22" i="9" a="1"/>
  <c r="AP24" i="9" a="1"/>
  <c r="CM23" i="9" a="1"/>
  <c r="BO26" i="9" a="1"/>
  <c r="CP27" i="9" a="1"/>
  <c r="AL20" i="9" a="1"/>
  <c r="CQ22" i="9" a="1"/>
  <c r="BY28" i="9" a="1"/>
  <c r="AO29" i="9" a="1"/>
  <c r="BR20" i="9" a="1"/>
  <c r="W25" i="9" a="1"/>
  <c r="BD25" i="9" a="1"/>
  <c r="O20" i="9" a="1"/>
  <c r="CE27" i="9" a="1"/>
  <c r="K742" i="22"/>
  <c r="AR27" i="9" a="1"/>
  <c r="K210" i="5"/>
  <c r="CE21" i="9" a="1"/>
  <c r="K1008" i="22"/>
  <c r="AV23" i="9" a="1"/>
  <c r="E21" i="9" a="1"/>
  <c r="CI20" i="9" a="1"/>
  <c r="CI29" i="9" a="1"/>
  <c r="O24" i="9" a="1"/>
  <c r="K20" i="15"/>
  <c r="N27" i="9" a="1"/>
  <c r="BU21" i="9" a="1"/>
  <c r="BO21" i="9" a="1"/>
  <c r="N22" i="9" a="1"/>
  <c r="AA25" i="9" a="1"/>
  <c r="CF20" i="9" a="1"/>
  <c r="BS25" i="9" a="1"/>
  <c r="BT28" i="9" a="1"/>
  <c r="BC20" i="9" a="1"/>
  <c r="AV25" i="9" a="1"/>
  <c r="BF23" i="9" a="1"/>
  <c r="BJ26" i="9" a="1"/>
  <c r="BL22" i="9" a="1"/>
  <c r="AL22" i="9" a="1"/>
  <c r="BP25" i="9" a="1"/>
  <c r="S22" i="9" a="1"/>
  <c r="S27" i="9" a="1"/>
  <c r="BZ21" i="9" a="1"/>
  <c r="K20" i="18"/>
  <c r="CP28" i="9" a="1"/>
  <c r="AA23" i="9" a="1"/>
  <c r="AE24" i="9" a="1"/>
  <c r="AK24" i="9" a="1"/>
  <c r="AC26" i="9" a="1"/>
  <c r="U26" i="9" a="1"/>
  <c r="M23" i="9" a="1"/>
  <c r="AC21" i="9" a="1"/>
  <c r="E29" i="9" a="1"/>
  <c r="K134" i="22"/>
  <c r="AF26" i="9" a="1"/>
  <c r="CH21" i="9" a="1"/>
  <c r="CL22" i="9" a="1"/>
  <c r="AS21" i="9" a="1"/>
  <c r="BE28" i="9" a="1"/>
  <c r="CB26" i="9" a="1"/>
  <c r="AZ25" i="9" a="1"/>
  <c r="BZ20" i="9" a="1"/>
  <c r="CL21" i="9" a="1"/>
  <c r="R21" i="9" a="1"/>
  <c r="AU22" i="9" a="1"/>
  <c r="AP22" i="9" a="1"/>
  <c r="CE24" i="9" a="1"/>
  <c r="BX24" i="9" a="1"/>
  <c r="AZ20" i="9" a="1"/>
  <c r="BQ25" i="9" a="1"/>
  <c r="AP28" i="9" a="1"/>
  <c r="AU23" i="9" a="1"/>
  <c r="CK26" i="9" a="1"/>
  <c r="BH26" i="9" a="1"/>
  <c r="AT20" i="9" a="1"/>
  <c r="BF25" i="9" a="1"/>
  <c r="BK24" i="9" a="1"/>
  <c r="M27" i="9" a="1"/>
  <c r="P26" i="9" a="1"/>
  <c r="V25" i="9" a="1"/>
  <c r="CJ24" i="9" a="1"/>
  <c r="AD23" i="9" a="1"/>
  <c r="BR22" i="9" a="1"/>
  <c r="S26" i="9" a="1"/>
  <c r="AQ28" i="9" a="1"/>
  <c r="K1198" i="22"/>
  <c r="R20" i="9" a="1"/>
  <c r="AE28" i="9" a="1"/>
  <c r="CL29" i="9" a="1"/>
  <c r="BH21" i="9" a="1"/>
  <c r="AJ20" i="9" a="1"/>
  <c r="BW22" i="9" a="1"/>
  <c r="BI24" i="9" a="1"/>
  <c r="K134" i="14"/>
  <c r="BE27" i="9" a="1"/>
  <c r="K29" i="9" a="1"/>
  <c r="L27" i="9" a="1"/>
  <c r="CJ20" i="9" a="1"/>
  <c r="L26" i="9" a="1"/>
  <c r="S25" i="9" a="1"/>
  <c r="CA25" i="9" a="1"/>
  <c r="CK27" i="9" a="1"/>
  <c r="K324" i="22"/>
  <c r="Z23" i="9" a="1"/>
  <c r="S23" i="9" a="1"/>
  <c r="J25" i="9" a="1"/>
  <c r="L22" i="9" a="1"/>
  <c r="CM28" i="9" a="1"/>
  <c r="AF20" i="9" a="1"/>
  <c r="AB24" i="9" a="1"/>
  <c r="M28" i="9" a="1"/>
  <c r="AA28" i="9" a="1"/>
  <c r="CH20" i="9" a="1"/>
  <c r="W22" i="9" a="1"/>
  <c r="BQ29" i="9" a="1"/>
  <c r="AT21" i="9" a="1"/>
  <c r="BE23" i="9" a="1"/>
  <c r="BF20" i="9" a="1"/>
  <c r="CD29" i="9" a="1"/>
  <c r="CN26" i="9" a="1"/>
  <c r="AV21" i="9" a="1"/>
  <c r="AC28" i="9" a="1"/>
  <c r="BC29" i="9" a="1"/>
  <c r="V23" i="9" a="1"/>
  <c r="AC23" i="9" a="1"/>
  <c r="AY20" i="9" a="1"/>
  <c r="N20" i="9" a="1"/>
  <c r="Z27" i="9" a="1"/>
  <c r="I22" i="9" a="1"/>
  <c r="K666" i="14"/>
  <c r="BD20" i="9" a="1"/>
  <c r="V29" i="9" a="1"/>
  <c r="AF22" i="9" a="1"/>
  <c r="BN27" i="9" a="1"/>
  <c r="BQ22" i="9" a="1"/>
  <c r="R27" i="9" a="1"/>
  <c r="BI25" i="9" a="1"/>
  <c r="J27" i="9" a="1"/>
  <c r="AF25" i="9" a="1"/>
  <c r="BX29" i="9" a="1"/>
  <c r="CC24" i="9" a="1"/>
  <c r="X24" i="9" a="1"/>
  <c r="AU29" i="9" a="1"/>
  <c r="BP27" i="9" a="1"/>
  <c r="BG21" i="9" a="1"/>
  <c r="BO29" i="9" a="1"/>
  <c r="CG29" i="9" a="1"/>
  <c r="CL28" i="9" a="1"/>
  <c r="CR21" i="9" a="1"/>
  <c r="AM22" i="9" a="1"/>
  <c r="T23" i="9" a="1"/>
  <c r="K210" i="14"/>
  <c r="BA21" i="9" a="1"/>
  <c r="BY23" i="9" a="1"/>
  <c r="BW25" i="9" a="1"/>
  <c r="BB20" i="9" a="1"/>
  <c r="I27" i="9" a="1"/>
  <c r="T27" i="9" a="1"/>
  <c r="K58" i="14"/>
  <c r="K1160" i="22"/>
  <c r="BY27" i="9" a="1"/>
  <c r="CM27" i="9" a="1"/>
  <c r="AU24" i="9" a="1"/>
  <c r="H24" i="9" a="1"/>
  <c r="BY22" i="9" a="1"/>
  <c r="CG27" i="9" a="1"/>
  <c r="AD22" i="9" a="1"/>
  <c r="AT27" i="9" a="1"/>
  <c r="BQ28" i="9" a="1"/>
  <c r="R28" i="9" a="1"/>
  <c r="I26" i="9" a="1"/>
  <c r="BJ27" i="9" a="1"/>
  <c r="AT24" i="9" a="1"/>
  <c r="BP20" i="9" a="1"/>
  <c r="R24" i="9" a="1"/>
  <c r="K400" i="14"/>
  <c r="U24" i="9" a="1"/>
  <c r="CH26" i="9" a="1"/>
  <c r="BO28" i="9" a="1"/>
  <c r="CP21" i="9" a="1"/>
  <c r="CI23" i="9" a="1"/>
  <c r="AU26" i="9" a="1"/>
  <c r="BF29" i="9" a="1"/>
  <c r="BY24" i="9" a="1"/>
  <c r="BR23" i="9" a="1"/>
  <c r="BA29" i="9" a="1"/>
  <c r="F25" i="9" a="1"/>
  <c r="K286" i="14"/>
  <c r="P22" i="9" a="1"/>
  <c r="AF27" i="9" a="1"/>
  <c r="BQ21" i="9" a="1"/>
  <c r="I20" i="9" a="1"/>
  <c r="S28" i="9" a="1"/>
  <c r="Y25" i="9" a="1"/>
  <c r="K27" i="9" a="1"/>
  <c r="K1692" i="22"/>
  <c r="AI25" i="9" a="1"/>
  <c r="BH28" i="9" a="1"/>
  <c r="CO24" i="9" a="1"/>
  <c r="CG21" i="9" a="1"/>
  <c r="G20" i="9" a="1"/>
  <c r="AM26" i="9" a="1"/>
  <c r="BS21" i="9" a="1"/>
  <c r="K58" i="13"/>
  <c r="AK20" i="9" a="1"/>
  <c r="P20" i="9" a="1"/>
  <c r="AM27" i="9" a="1"/>
  <c r="CH27" i="9" a="1"/>
  <c r="BC28" i="9" a="1"/>
  <c r="L28" i="9" a="1"/>
  <c r="V27" i="9" a="1"/>
  <c r="BL20" i="9" a="1"/>
  <c r="CF27" i="9" a="1"/>
  <c r="BT20" i="9" a="1"/>
  <c r="O25" i="9" a="1"/>
  <c r="CD27" i="9" a="1"/>
  <c r="L20" i="9" a="1"/>
  <c r="CM24" i="9" a="1"/>
  <c r="AL23" i="9" a="1"/>
  <c r="J22" i="9" a="1"/>
  <c r="K25" i="9" a="1"/>
  <c r="CF28" i="9" a="1"/>
  <c r="BS23" i="9" a="1"/>
  <c r="G26" i="9" a="1"/>
  <c r="BA28" i="9" a="1"/>
  <c r="BT22" i="9" a="1"/>
  <c r="AO21" i="9" a="1"/>
  <c r="BV21" i="9" a="1"/>
  <c r="CO20" i="9" a="1"/>
  <c r="CB27" i="9" a="1"/>
  <c r="CO21" i="9" a="1"/>
  <c r="E28" i="9" a="1"/>
  <c r="Q26" i="9" a="1"/>
  <c r="CM22" i="9" a="1"/>
  <c r="CR23" i="9" a="1"/>
  <c r="CC23" i="9" a="1"/>
  <c r="G23" i="9" a="1"/>
  <c r="BW24" i="9" a="1"/>
  <c r="CR25" i="9" a="1"/>
  <c r="BQ23" i="9" a="1"/>
  <c r="CB25" i="9" a="1"/>
  <c r="CN22" i="9" a="1"/>
  <c r="AQ21" i="9" a="1"/>
  <c r="AZ23" i="9" a="1"/>
  <c r="K248" i="22"/>
  <c r="CC21" i="9" a="1"/>
  <c r="AA27" i="9" a="1"/>
  <c r="N29" i="9" a="1"/>
  <c r="CO29" i="9" a="1"/>
  <c r="AZ27" i="9" a="1"/>
  <c r="BE29" i="9" a="1"/>
  <c r="AZ28" i="9" a="1"/>
  <c r="Y28" i="9" a="1"/>
  <c r="BK21" i="9" a="1"/>
  <c r="AK26" i="9" a="1"/>
  <c r="CI26" i="9" a="1"/>
  <c r="BD27" i="9" a="1"/>
  <c r="BC27" i="9" a="1"/>
  <c r="BL26" i="9" a="1"/>
  <c r="AK23" i="9" a="1"/>
  <c r="T20" i="9" a="1"/>
  <c r="CF21" i="9" a="1"/>
  <c r="BM21" i="9" a="1"/>
  <c r="AU20" i="9" a="1"/>
  <c r="CN23" i="9" a="1"/>
  <c r="BY20" i="9" a="1"/>
  <c r="K1654" i="22"/>
  <c r="BI26" i="9" a="1"/>
  <c r="BL28" i="9" a="1"/>
  <c r="CL20" i="9" a="1"/>
  <c r="AN27" i="9" a="1"/>
  <c r="S24" i="9" a="1"/>
  <c r="BA27" i="9" a="1"/>
  <c r="BI28" i="9" a="1"/>
  <c r="CQ20" i="9" a="1"/>
  <c r="AW27" i="9" a="1"/>
  <c r="BV28" i="9" a="1"/>
  <c r="J23" i="9" a="1"/>
  <c r="BV20" i="9" a="1"/>
  <c r="K514" i="22"/>
  <c r="CQ29" i="9" a="1"/>
  <c r="CE29" i="9" a="1"/>
  <c r="K552" i="22"/>
  <c r="BG27" i="9" a="1"/>
  <c r="BU28" i="9" a="1"/>
  <c r="AN29" i="9" a="1"/>
  <c r="AO27" i="9" a="1"/>
  <c r="CD22" i="9" a="1"/>
  <c r="BX27" i="9" a="1"/>
  <c r="BU27" i="9" a="1"/>
  <c r="K172" i="22"/>
  <c r="AT29" i="9" a="1"/>
  <c r="N28" i="9" a="1"/>
  <c r="BP26" i="9" a="1"/>
  <c r="AQ25" i="9" a="1"/>
  <c r="CD26" i="9" a="1"/>
  <c r="CQ23" i="9" a="1"/>
  <c r="U25" i="9" a="1"/>
  <c r="AV24" i="9" a="1"/>
  <c r="AC22" i="9" a="1"/>
  <c r="BI27" i="9" a="1"/>
  <c r="BL25" i="9" a="1"/>
  <c r="AL28" i="9" a="1"/>
  <c r="BI29" i="9" a="1"/>
  <c r="CH28" i="9" a="1"/>
  <c r="BX23" i="9" a="1"/>
  <c r="AI26" i="9" a="1"/>
  <c r="AH27" i="9" a="1"/>
  <c r="K628" i="22"/>
  <c r="AJ25" i="9" a="1"/>
  <c r="BU23" i="9" a="1"/>
  <c r="BB28" i="9" a="1"/>
  <c r="BP29" i="9" a="1"/>
  <c r="J29" i="9" a="1"/>
  <c r="AR23" i="9" a="1"/>
  <c r="T28" i="9" a="1"/>
  <c r="BR24" i="9" a="1"/>
  <c r="K590" i="14"/>
  <c r="BC25" i="9" a="1"/>
  <c r="BD23" i="9" a="1"/>
  <c r="AA21" i="9" a="1"/>
  <c r="K1806" i="22"/>
  <c r="G28" i="9" a="1"/>
  <c r="AX27" i="9" a="1"/>
  <c r="CN21" i="9" a="1"/>
  <c r="AU27" i="9" a="1"/>
  <c r="Q21" i="9" a="1"/>
  <c r="AT28" i="9" a="1"/>
  <c r="BT23" i="9" a="1"/>
  <c r="BW28" i="9" a="1"/>
  <c r="H28" i="9" a="1"/>
  <c r="CM25" i="9" a="1"/>
  <c r="BX22" i="9" a="1"/>
  <c r="N24" i="9" a="1"/>
  <c r="CP20" i="9" a="1"/>
  <c r="AA20" i="9" a="1"/>
  <c r="BG28" i="9" a="1"/>
  <c r="AQ23" i="9" a="1"/>
  <c r="BI21" i="9" a="1"/>
  <c r="BY21" i="9" a="1"/>
  <c r="K210" i="15"/>
  <c r="BD28" i="9" a="1"/>
  <c r="AD28" i="9" a="1"/>
  <c r="AA26" i="9" a="1"/>
  <c r="I28" i="9" a="1"/>
  <c r="BE22" i="9" a="1"/>
  <c r="CE28" i="9" a="1"/>
  <c r="K24" i="9" a="1"/>
  <c r="BD29" i="9" a="1"/>
  <c r="BB25" i="9" a="1"/>
  <c r="CO23" i="9" a="1"/>
  <c r="K476" i="14"/>
  <c r="CO26" i="9" a="1"/>
  <c r="W21" i="9" a="1"/>
  <c r="R23" i="9" a="1"/>
  <c r="K856" i="22"/>
  <c r="AI28" i="9" a="1"/>
  <c r="K970" i="22"/>
  <c r="BJ24" i="9" a="1"/>
  <c r="AL27" i="9" a="1"/>
  <c r="BM20" i="9" a="1"/>
  <c r="Z24" i="9" a="1"/>
  <c r="Z28" i="9" a="1"/>
  <c r="AT26" i="9" a="1"/>
  <c r="CG28" i="9" a="1"/>
  <c r="BS24" i="9" a="1"/>
  <c r="K932" i="22"/>
  <c r="BS24" i="9" l="1"/>
  <c r="CO7" i="19" s="1"/>
  <c r="CG28" i="9"/>
  <c r="DC11" i="19" s="1"/>
  <c r="AT26" i="9"/>
  <c r="BP9" i="19" s="1"/>
  <c r="Z28" i="9"/>
  <c r="AV11" i="19" s="1"/>
  <c r="Z24" i="9"/>
  <c r="AV7" i="19" s="1"/>
  <c r="BM20" i="9"/>
  <c r="AL27" i="9"/>
  <c r="BH10" i="19" s="1"/>
  <c r="BJ24" i="9"/>
  <c r="CF7" i="19" s="1"/>
  <c r="AI28" i="9"/>
  <c r="BE11" i="19" s="1"/>
  <c r="R23" i="9"/>
  <c r="W21" i="9"/>
  <c r="CO26" i="9"/>
  <c r="DK9" i="19" s="1"/>
  <c r="CO23" i="9"/>
  <c r="BB25" i="9"/>
  <c r="BX8" i="19" s="1"/>
  <c r="BD29" i="9"/>
  <c r="BZ12" i="19" s="1"/>
  <c r="K24" i="9"/>
  <c r="AG7" i="19" s="1"/>
  <c r="CE28" i="9"/>
  <c r="DA11" i="19" s="1"/>
  <c r="BE22" i="9"/>
  <c r="I28" i="9"/>
  <c r="AE11" i="19" s="1"/>
  <c r="AA26" i="9"/>
  <c r="AW9" i="19" s="1"/>
  <c r="AD28" i="9"/>
  <c r="AZ11" i="19" s="1"/>
  <c r="BD28" i="9"/>
  <c r="BZ11" i="19" s="1"/>
  <c r="BY21" i="9"/>
  <c r="BI21" i="9"/>
  <c r="AQ23" i="9"/>
  <c r="BG28" i="9"/>
  <c r="CC11" i="19" s="1"/>
  <c r="AA20" i="9"/>
  <c r="CP20" i="9"/>
  <c r="N24" i="9"/>
  <c r="AJ7" i="19" s="1"/>
  <c r="BX22" i="9"/>
  <c r="CM25" i="9"/>
  <c r="DI8" i="19" s="1"/>
  <c r="H28" i="9"/>
  <c r="AD11" i="19" s="1"/>
  <c r="BW28" i="9"/>
  <c r="CS11" i="19" s="1"/>
  <c r="BT23" i="9"/>
  <c r="AT28" i="9"/>
  <c r="BP11" i="19" s="1"/>
  <c r="Q21" i="9"/>
  <c r="AU27" i="9"/>
  <c r="BQ10" i="19" s="1"/>
  <c r="CN21" i="9"/>
  <c r="AX27" i="9"/>
  <c r="BT10" i="19" s="1"/>
  <c r="G28" i="9"/>
  <c r="AC11" i="19" s="1"/>
  <c r="AA21" i="9"/>
  <c r="BD23" i="9"/>
  <c r="BC25" i="9"/>
  <c r="BY8" i="19" s="1"/>
  <c r="BR24" i="9"/>
  <c r="CN7" i="19" s="1"/>
  <c r="T28" i="9"/>
  <c r="AP11" i="19" s="1"/>
  <c r="AR23" i="9"/>
  <c r="J29" i="9"/>
  <c r="AF12" i="19" s="1"/>
  <c r="BP29" i="9"/>
  <c r="CL12" i="19" s="1"/>
  <c r="BB28" i="9"/>
  <c r="BX11" i="19" s="1"/>
  <c r="BU23" i="9"/>
  <c r="AJ25" i="9"/>
  <c r="BF8" i="19" s="1"/>
  <c r="AH27" i="9"/>
  <c r="BD10" i="19" s="1"/>
  <c r="AI26" i="9"/>
  <c r="BE9" i="19" s="1"/>
  <c r="BX23" i="9"/>
  <c r="CH28" i="9"/>
  <c r="DD11" i="19" s="1"/>
  <c r="BI29" i="9"/>
  <c r="CE12" i="19" s="1"/>
  <c r="AL28" i="9"/>
  <c r="BH11" i="19" s="1"/>
  <c r="BL25" i="9"/>
  <c r="CH8" i="19" s="1"/>
  <c r="BI27" i="9"/>
  <c r="CE10" i="19" s="1"/>
  <c r="AC22" i="9"/>
  <c r="AV24" i="9"/>
  <c r="BR7" i="19" s="1"/>
  <c r="U25" i="9"/>
  <c r="AQ8" i="19" s="1"/>
  <c r="CQ23" i="9"/>
  <c r="CD26" i="9"/>
  <c r="CZ9" i="19" s="1"/>
  <c r="AQ25" i="9"/>
  <c r="BM8" i="19" s="1"/>
  <c r="BP26" i="9"/>
  <c r="CL9" i="19" s="1"/>
  <c r="N28" i="9"/>
  <c r="AJ11" i="19" s="1"/>
  <c r="AT29" i="9"/>
  <c r="BP12" i="19" s="1"/>
  <c r="BU27" i="9"/>
  <c r="CQ10" i="19" s="1"/>
  <c r="BX27" i="9"/>
  <c r="CT10" i="19" s="1"/>
  <c r="CD22" i="9"/>
  <c r="AO27" i="9"/>
  <c r="BK10" i="19" s="1"/>
  <c r="AN29" i="9"/>
  <c r="BJ12" i="19" s="1"/>
  <c r="BU28" i="9"/>
  <c r="CQ11" i="19" s="1"/>
  <c r="BG27" i="9"/>
  <c r="CC10" i="19" s="1"/>
  <c r="CE29" i="9"/>
  <c r="DA12" i="19" s="1"/>
  <c r="CQ29" i="9"/>
  <c r="DM12" i="19" s="1"/>
  <c r="BV20" i="9"/>
  <c r="J23" i="9"/>
  <c r="BV28" i="9"/>
  <c r="CR11" i="19" s="1"/>
  <c r="AW27" i="9"/>
  <c r="BS10" i="19" s="1"/>
  <c r="CQ20" i="9"/>
  <c r="BI28" i="9"/>
  <c r="CE11" i="19" s="1"/>
  <c r="BA27" i="9"/>
  <c r="BW10" i="19" s="1"/>
  <c r="S24" i="9"/>
  <c r="AO7" i="19" s="1"/>
  <c r="AN27" i="9"/>
  <c r="BJ10" i="19" s="1"/>
  <c r="CL20" i="9"/>
  <c r="BL28" i="9"/>
  <c r="CH11" i="19" s="1"/>
  <c r="BI26" i="9"/>
  <c r="CE9" i="19" s="1"/>
  <c r="BY20" i="9"/>
  <c r="CN23" i="9"/>
  <c r="AU20" i="9"/>
  <c r="BM21" i="9"/>
  <c r="CF21" i="9"/>
  <c r="T20" i="9"/>
  <c r="AK23" i="9"/>
  <c r="BL26" i="9"/>
  <c r="CH9" i="19" s="1"/>
  <c r="BC27" i="9"/>
  <c r="BY10" i="19" s="1"/>
  <c r="BD27" i="9"/>
  <c r="BZ10" i="19" s="1"/>
  <c r="CI26" i="9"/>
  <c r="DE9" i="19" s="1"/>
  <c r="AK26" i="9"/>
  <c r="BG9" i="19" s="1"/>
  <c r="BK21" i="9"/>
  <c r="Y28" i="9"/>
  <c r="AU11" i="19" s="1"/>
  <c r="AZ28" i="9"/>
  <c r="BV11" i="19" s="1"/>
  <c r="BE29" i="9"/>
  <c r="CA12" i="19" s="1"/>
  <c r="AZ27" i="9"/>
  <c r="BV10" i="19" s="1"/>
  <c r="CO29" i="9"/>
  <c r="DK12" i="19" s="1"/>
  <c r="N29" i="9"/>
  <c r="AJ12" i="19" s="1"/>
  <c r="AA27" i="9"/>
  <c r="AW10" i="19" s="1"/>
  <c r="CC21" i="9"/>
  <c r="AZ23" i="9"/>
  <c r="AQ21" i="9"/>
  <c r="CN22" i="9"/>
  <c r="CB25" i="9"/>
  <c r="CX8" i="19" s="1"/>
  <c r="BQ23" i="9"/>
  <c r="CR25" i="9"/>
  <c r="DN8" i="19" s="1"/>
  <c r="BW24" i="9"/>
  <c r="CS7" i="19" s="1"/>
  <c r="G23" i="9"/>
  <c r="CC23" i="9"/>
  <c r="CR23" i="9"/>
  <c r="CM22" i="9"/>
  <c r="Q26" i="9"/>
  <c r="AM9" i="19" s="1"/>
  <c r="E28" i="9"/>
  <c r="AA11" i="19" s="1"/>
  <c r="CO21" i="9"/>
  <c r="CB27" i="9"/>
  <c r="CX10" i="19" s="1"/>
  <c r="CO20" i="9"/>
  <c r="BV21" i="9"/>
  <c r="AO21" i="9"/>
  <c r="BT22" i="9"/>
  <c r="BA28" i="9"/>
  <c r="BW11" i="19" s="1"/>
  <c r="G26" i="9"/>
  <c r="AC9" i="19" s="1"/>
  <c r="BS23" i="9"/>
  <c r="CF28" i="9"/>
  <c r="DB11" i="19" s="1"/>
  <c r="K25" i="9"/>
  <c r="AG8" i="19" s="1"/>
  <c r="J22" i="9"/>
  <c r="AL23" i="9"/>
  <c r="CM24" i="9"/>
  <c r="DI7" i="19" s="1"/>
  <c r="L20" i="9"/>
  <c r="CD27" i="9"/>
  <c r="CZ10" i="19" s="1"/>
  <c r="O25" i="9"/>
  <c r="AK8" i="19" s="1"/>
  <c r="BT20" i="9"/>
  <c r="CF27" i="9"/>
  <c r="DB10" i="19" s="1"/>
  <c r="BL20" i="9"/>
  <c r="V27" i="9"/>
  <c r="AR10" i="19" s="1"/>
  <c r="L28" i="9"/>
  <c r="AH11" i="19" s="1"/>
  <c r="BC28" i="9"/>
  <c r="BY11" i="19" s="1"/>
  <c r="CH27" i="9"/>
  <c r="DD10" i="19" s="1"/>
  <c r="AM27" i="9"/>
  <c r="BI10" i="19" s="1"/>
  <c r="P20" i="9"/>
  <c r="AK20" i="9"/>
  <c r="BS21" i="9"/>
  <c r="AM26" i="9"/>
  <c r="BI9" i="19" s="1"/>
  <c r="G20" i="9"/>
  <c r="CG21" i="9"/>
  <c r="DC4" i="19" s="1"/>
  <c r="CO24" i="9"/>
  <c r="DK7" i="19" s="1"/>
  <c r="BH28" i="9"/>
  <c r="CD11" i="19" s="1"/>
  <c r="AI25" i="9"/>
  <c r="BE8" i="19" s="1"/>
  <c r="K27" i="9"/>
  <c r="AG10" i="19" s="1"/>
  <c r="Y25" i="9"/>
  <c r="AU8" i="19" s="1"/>
  <c r="S28" i="9"/>
  <c r="AO11" i="19" s="1"/>
  <c r="I20" i="9"/>
  <c r="BQ21" i="9"/>
  <c r="AF27" i="9"/>
  <c r="BB10" i="19" s="1"/>
  <c r="P22" i="9"/>
  <c r="F25" i="9"/>
  <c r="AB8" i="19" s="1"/>
  <c r="BA29" i="9"/>
  <c r="BW12" i="19" s="1"/>
  <c r="BR23" i="9"/>
  <c r="BY24" i="9"/>
  <c r="CU7" i="19" s="1"/>
  <c r="BF29" i="9"/>
  <c r="CB12" i="19" s="1"/>
  <c r="AU26" i="9"/>
  <c r="BQ9" i="19" s="1"/>
  <c r="CI23" i="9"/>
  <c r="CP21" i="9"/>
  <c r="BO28" i="9"/>
  <c r="CK11" i="19" s="1"/>
  <c r="CH26" i="9"/>
  <c r="DD9" i="19" s="1"/>
  <c r="U24" i="9"/>
  <c r="AQ7" i="19" s="1"/>
  <c r="R24" i="9"/>
  <c r="AN7" i="19" s="1"/>
  <c r="BP20" i="9"/>
  <c r="AT24" i="9"/>
  <c r="BP7" i="19" s="1"/>
  <c r="BJ27" i="9"/>
  <c r="CF10" i="19" s="1"/>
  <c r="I26" i="9"/>
  <c r="AE9" i="19" s="1"/>
  <c r="R28" i="9"/>
  <c r="AN11" i="19" s="1"/>
  <c r="BQ28" i="9"/>
  <c r="CM11" i="19" s="1"/>
  <c r="AT27" i="9"/>
  <c r="BP10" i="19" s="1"/>
  <c r="AD22" i="9"/>
  <c r="AZ5" i="19" s="1"/>
  <c r="CG27" i="9"/>
  <c r="DC10" i="19" s="1"/>
  <c r="BY22" i="9"/>
  <c r="H24" i="9"/>
  <c r="AD7" i="19" s="1"/>
  <c r="AU24" i="9"/>
  <c r="BQ7" i="19" s="1"/>
  <c r="CM27" i="9"/>
  <c r="DI10" i="19" s="1"/>
  <c r="BY27" i="9"/>
  <c r="CU10" i="19" s="1"/>
  <c r="T27" i="9"/>
  <c r="AP10" i="19" s="1"/>
  <c r="I27" i="9"/>
  <c r="AE10" i="19" s="1"/>
  <c r="BB20" i="9"/>
  <c r="BW25" i="9"/>
  <c r="CS8" i="19" s="1"/>
  <c r="BY23" i="9"/>
  <c r="BA21" i="9"/>
  <c r="T23" i="9"/>
  <c r="AM22" i="9"/>
  <c r="CR21" i="9"/>
  <c r="CL28" i="9"/>
  <c r="DH11" i="19" s="1"/>
  <c r="CG29" i="9"/>
  <c r="DC12" i="19" s="1"/>
  <c r="BO29" i="9"/>
  <c r="CK12" i="19" s="1"/>
  <c r="BG21" i="9"/>
  <c r="BP27" i="9"/>
  <c r="CL10" i="19" s="1"/>
  <c r="AU29" i="9"/>
  <c r="BQ12" i="19" s="1"/>
  <c r="X24" i="9"/>
  <c r="AT7" i="19" s="1"/>
  <c r="CC24" i="9"/>
  <c r="CY7" i="19" s="1"/>
  <c r="BX29" i="9"/>
  <c r="CT12" i="19" s="1"/>
  <c r="AF25" i="9"/>
  <c r="BB8" i="19" s="1"/>
  <c r="J27" i="9"/>
  <c r="AF10" i="19" s="1"/>
  <c r="BI25" i="9"/>
  <c r="CE8" i="19" s="1"/>
  <c r="R27" i="9"/>
  <c r="AN10" i="19" s="1"/>
  <c r="BQ22" i="9"/>
  <c r="BN27" i="9"/>
  <c r="CJ10" i="19" s="1"/>
  <c r="AF22" i="9"/>
  <c r="V29" i="9"/>
  <c r="AR12" i="19" s="1"/>
  <c r="BD20" i="9"/>
  <c r="I22" i="9"/>
  <c r="Z27" i="9"/>
  <c r="AV10" i="19" s="1"/>
  <c r="N20" i="9"/>
  <c r="AY20" i="9"/>
  <c r="AC23" i="9"/>
  <c r="V23" i="9"/>
  <c r="AR6" i="19" s="1"/>
  <c r="BC29" i="9"/>
  <c r="BY12" i="19" s="1"/>
  <c r="AC28" i="9"/>
  <c r="AY11" i="19" s="1"/>
  <c r="AV21" i="9"/>
  <c r="CN26" i="9"/>
  <c r="DJ9" i="19" s="1"/>
  <c r="CD29" i="9"/>
  <c r="CZ12" i="19" s="1"/>
  <c r="BF20" i="9"/>
  <c r="BE23" i="9"/>
  <c r="AT21" i="9"/>
  <c r="BQ29" i="9"/>
  <c r="CM12" i="19" s="1"/>
  <c r="W22" i="9"/>
  <c r="CH20" i="9"/>
  <c r="AA28" i="9"/>
  <c r="AW11" i="19" s="1"/>
  <c r="M28" i="9"/>
  <c r="AI11" i="19" s="1"/>
  <c r="AB24" i="9"/>
  <c r="AX7" i="19" s="1"/>
  <c r="AF20" i="9"/>
  <c r="CM28" i="9"/>
  <c r="DI11" i="19" s="1"/>
  <c r="L22" i="9"/>
  <c r="J25" i="9"/>
  <c r="AF8" i="19" s="1"/>
  <c r="S23" i="9"/>
  <c r="Z23" i="9"/>
  <c r="AV6" i="19" s="1"/>
  <c r="CK27" i="9"/>
  <c r="DG10" i="19" s="1"/>
  <c r="CA25" i="9"/>
  <c r="CW8" i="19" s="1"/>
  <c r="S25" i="9"/>
  <c r="AO8" i="19" s="1"/>
  <c r="L26" i="9"/>
  <c r="AH9" i="19" s="1"/>
  <c r="CJ20" i="9"/>
  <c r="L27" i="9"/>
  <c r="AH10" i="19" s="1"/>
  <c r="K29" i="9"/>
  <c r="AG12" i="19" s="1"/>
  <c r="BE27" i="9"/>
  <c r="CA10" i="19" s="1"/>
  <c r="BI24" i="9"/>
  <c r="CE7" i="19" s="1"/>
  <c r="BW22" i="9"/>
  <c r="AJ20" i="9"/>
  <c r="BH21" i="9"/>
  <c r="CL29" i="9"/>
  <c r="DH12" i="19" s="1"/>
  <c r="AE28" i="9"/>
  <c r="BA11" i="19" s="1"/>
  <c r="R20" i="9"/>
  <c r="AQ28" i="9"/>
  <c r="BM11" i="19" s="1"/>
  <c r="S26" i="9"/>
  <c r="AO9" i="19" s="1"/>
  <c r="BR22" i="9"/>
  <c r="AD23" i="9"/>
  <c r="AZ6" i="19" s="1"/>
  <c r="CJ24" i="9"/>
  <c r="DF7" i="19" s="1"/>
  <c r="V25" i="9"/>
  <c r="AR8" i="19" s="1"/>
  <c r="P26" i="9"/>
  <c r="AL9" i="19" s="1"/>
  <c r="M27" i="9"/>
  <c r="AI10" i="19" s="1"/>
  <c r="BK24" i="9"/>
  <c r="CG7" i="19" s="1"/>
  <c r="BF25" i="9"/>
  <c r="CB8" i="19" s="1"/>
  <c r="AT20" i="9"/>
  <c r="BH26" i="9"/>
  <c r="CD9" i="19" s="1"/>
  <c r="CK26" i="9"/>
  <c r="DG9" i="19" s="1"/>
  <c r="AU23" i="9"/>
  <c r="AP28" i="9"/>
  <c r="BL11" i="19" s="1"/>
  <c r="BQ25" i="9"/>
  <c r="CM8" i="19" s="1"/>
  <c r="AZ20" i="9"/>
  <c r="BX24" i="9"/>
  <c r="CT7" i="19" s="1"/>
  <c r="CE24" i="9"/>
  <c r="DA7" i="19" s="1"/>
  <c r="AP22" i="9"/>
  <c r="AU22" i="9"/>
  <c r="R21" i="9"/>
  <c r="CL21" i="9"/>
  <c r="BZ20" i="9"/>
  <c r="AZ25" i="9"/>
  <c r="BV8" i="19" s="1"/>
  <c r="CB26" i="9"/>
  <c r="CX9" i="19" s="1"/>
  <c r="BE28" i="9"/>
  <c r="CA11" i="19" s="1"/>
  <c r="AS21" i="9"/>
  <c r="CL22" i="9"/>
  <c r="CH21" i="9"/>
  <c r="AF26" i="9"/>
  <c r="BB9" i="19" s="1"/>
  <c r="E29" i="9"/>
  <c r="AA12" i="19" s="1"/>
  <c r="AC21" i="9"/>
  <c r="M23" i="9"/>
  <c r="U26" i="9"/>
  <c r="AQ9" i="19" s="1"/>
  <c r="AC26" i="9"/>
  <c r="AY9" i="19" s="1"/>
  <c r="AK24" i="9"/>
  <c r="BG7" i="19" s="1"/>
  <c r="AE24" i="9"/>
  <c r="BA7" i="19" s="1"/>
  <c r="AA23" i="9"/>
  <c r="CP28" i="9"/>
  <c r="DL11" i="19" s="1"/>
  <c r="K14" i="18"/>
  <c r="BZ21" i="9"/>
  <c r="S27" i="9"/>
  <c r="AO10" i="19" s="1"/>
  <c r="S22" i="9"/>
  <c r="BP25" i="9"/>
  <c r="CL8" i="19" s="1"/>
  <c r="AL22" i="9"/>
  <c r="BL22" i="9"/>
  <c r="BJ26" i="9"/>
  <c r="CF9" i="19" s="1"/>
  <c r="BF23" i="9"/>
  <c r="AV25" i="9"/>
  <c r="BR8" i="19" s="1"/>
  <c r="BC20" i="9"/>
  <c r="BT28" i="9"/>
  <c r="CP11" i="19" s="1"/>
  <c r="BS25" i="9"/>
  <c r="CO8" i="19" s="1"/>
  <c r="CF20" i="9"/>
  <c r="AA25" i="9"/>
  <c r="AW8" i="19" s="1"/>
  <c r="N22" i="9"/>
  <c r="BO21" i="9"/>
  <c r="BU21" i="9"/>
  <c r="N27" i="9"/>
  <c r="AJ10" i="19" s="1"/>
  <c r="K14" i="15"/>
  <c r="O24" i="9"/>
  <c r="AK7" i="19" s="1"/>
  <c r="CI29" i="9"/>
  <c r="DE12" i="19" s="1"/>
  <c r="CI20" i="9"/>
  <c r="E21" i="9"/>
  <c r="AV23" i="9"/>
  <c r="CE21" i="9"/>
  <c r="AR27" i="9"/>
  <c r="BN10" i="19" s="1"/>
  <c r="CE27" i="9"/>
  <c r="DA10" i="19" s="1"/>
  <c r="O20" i="9"/>
  <c r="BD25" i="9"/>
  <c r="BZ8" i="19" s="1"/>
  <c r="W25" i="9"/>
  <c r="AS8" i="19" s="1"/>
  <c r="BR20" i="9"/>
  <c r="AO29" i="9"/>
  <c r="BK12" i="19" s="1"/>
  <c r="BY28" i="9"/>
  <c r="CU11" i="19" s="1"/>
  <c r="CQ22" i="9"/>
  <c r="AL20" i="9"/>
  <c r="CP27" i="9"/>
  <c r="DL10" i="19" s="1"/>
  <c r="BO26" i="9"/>
  <c r="CK9" i="19" s="1"/>
  <c r="CM23" i="9"/>
  <c r="AP24" i="9"/>
  <c r="BL7" i="19" s="1"/>
  <c r="CG22" i="9"/>
  <c r="DC5" i="19" s="1"/>
  <c r="CB24" i="9"/>
  <c r="CX7" i="19" s="1"/>
  <c r="BA23" i="9"/>
  <c r="O23" i="9"/>
  <c r="AZ22" i="9"/>
  <c r="CN24" i="9"/>
  <c r="DJ7" i="19" s="1"/>
  <c r="BM28" i="9"/>
  <c r="CI11" i="19" s="1"/>
  <c r="CI24" i="9"/>
  <c r="DE7" i="19" s="1"/>
  <c r="BI22" i="9"/>
  <c r="CD21" i="9"/>
  <c r="BP24" i="9"/>
  <c r="CL7" i="19" s="1"/>
  <c r="L23" i="9"/>
  <c r="CM21" i="9"/>
  <c r="AQ22" i="9"/>
  <c r="AC27" i="9"/>
  <c r="AY10" i="19" s="1"/>
  <c r="J24" i="9"/>
  <c r="AF7" i="19" s="1"/>
  <c r="AA24" i="9"/>
  <c r="AW7" i="19" s="1"/>
  <c r="BK20" i="9"/>
  <c r="CK25" i="9"/>
  <c r="DG8" i="19" s="1"/>
  <c r="AG24" i="9"/>
  <c r="BC7" i="19" s="1"/>
  <c r="AU21" i="9"/>
  <c r="CR27" i="9"/>
  <c r="DN10" i="19" s="1"/>
  <c r="CO25" i="9"/>
  <c r="DK8" i="19" s="1"/>
  <c r="X26" i="9"/>
  <c r="AT9" i="19" s="1"/>
  <c r="BQ26" i="9"/>
  <c r="CM9" i="19" s="1"/>
  <c r="CI27" i="9"/>
  <c r="DE10" i="19" s="1"/>
  <c r="BE25" i="9"/>
  <c r="CA8" i="19" s="1"/>
  <c r="BB24" i="9"/>
  <c r="BX7" i="19" s="1"/>
  <c r="BV29" i="9"/>
  <c r="CR12" i="19" s="1"/>
  <c r="BT24" i="9"/>
  <c r="CP7" i="19" s="1"/>
  <c r="AB20" i="9"/>
  <c r="AI22" i="9"/>
  <c r="BT25" i="9"/>
  <c r="CP8" i="19" s="1"/>
  <c r="CQ28" i="9"/>
  <c r="DM11" i="19" s="1"/>
  <c r="AZ29" i="9"/>
  <c r="BV12" i="19" s="1"/>
  <c r="BP22" i="9"/>
  <c r="AN21" i="9"/>
  <c r="AY21" i="9"/>
  <c r="AR25" i="9"/>
  <c r="BN8" i="19" s="1"/>
  <c r="AP27" i="9"/>
  <c r="BL10" i="19" s="1"/>
  <c r="BD21" i="9"/>
  <c r="W24" i="9"/>
  <c r="AS7" i="19" s="1"/>
  <c r="AG29" i="9"/>
  <c r="BC12" i="19" s="1"/>
  <c r="CA29" i="9"/>
  <c r="CW12" i="19" s="1"/>
  <c r="CL24" i="9"/>
  <c r="DH7" i="19" s="1"/>
  <c r="I29" i="9"/>
  <c r="AE12" i="19" s="1"/>
  <c r="X28" i="9"/>
  <c r="AT11" i="19" s="1"/>
  <c r="K20" i="9"/>
  <c r="CF24" i="9"/>
  <c r="DB7" i="19" s="1"/>
  <c r="AH20" i="9"/>
  <c r="G29" i="9"/>
  <c r="AC12" i="19" s="1"/>
  <c r="CO28" i="9"/>
  <c r="DK11" i="19" s="1"/>
  <c r="BA25" i="9"/>
  <c r="BW8" i="19" s="1"/>
  <c r="CA23" i="9"/>
  <c r="U21" i="9"/>
  <c r="BS27" i="9"/>
  <c r="CO10" i="19" s="1"/>
  <c r="CL26" i="9"/>
  <c r="DH9" i="19" s="1"/>
  <c r="AW26" i="9"/>
  <c r="BS9" i="19" s="1"/>
  <c r="S20" i="9"/>
  <c r="CQ26" i="9"/>
  <c r="DM9" i="19" s="1"/>
  <c r="AL24" i="9"/>
  <c r="BH7" i="19" s="1"/>
  <c r="BM24" i="9"/>
  <c r="CI7" i="19" s="1"/>
  <c r="AK21" i="9"/>
  <c r="BD26" i="9"/>
  <c r="BZ9" i="19" s="1"/>
  <c r="BS28" i="9"/>
  <c r="CO11" i="19" s="1"/>
  <c r="AI20" i="9"/>
  <c r="AK22" i="9"/>
  <c r="CJ26" i="9"/>
  <c r="DF9" i="19" s="1"/>
  <c r="V22" i="9"/>
  <c r="AV22" i="9"/>
  <c r="AE20" i="9"/>
  <c r="BA3" i="19" s="1"/>
  <c r="AD21" i="9"/>
  <c r="AZ4" i="19" s="1"/>
  <c r="AH25" i="9"/>
  <c r="BD8" i="19" s="1"/>
  <c r="BR25" i="9"/>
  <c r="CN8" i="19" s="1"/>
  <c r="AI27" i="9"/>
  <c r="BE10" i="19" s="1"/>
  <c r="BZ23" i="9"/>
  <c r="AB28" i="9"/>
  <c r="AX11" i="19" s="1"/>
  <c r="AW28" i="9"/>
  <c r="BS11" i="19" s="1"/>
  <c r="CP29" i="9"/>
  <c r="DL12" i="19" s="1"/>
  <c r="BN22" i="9"/>
  <c r="AZ21" i="9"/>
  <c r="AP23" i="9"/>
  <c r="BH20" i="9"/>
  <c r="BH25" i="9"/>
  <c r="CD8" i="19" s="1"/>
  <c r="BZ26" i="9"/>
  <c r="CV9" i="19" s="1"/>
  <c r="BT26" i="9"/>
  <c r="CP9" i="19" s="1"/>
  <c r="BM27" i="9"/>
  <c r="CI10" i="19" s="1"/>
  <c r="BL27" i="9"/>
  <c r="CH10" i="19" s="1"/>
  <c r="CR22" i="9"/>
  <c r="I21" i="9"/>
  <c r="X25" i="9"/>
  <c r="AT8" i="19" s="1"/>
  <c r="E22" i="9"/>
  <c r="BX25" i="9"/>
  <c r="CT8" i="19" s="1"/>
  <c r="AH22" i="9"/>
  <c r="BR26" i="9"/>
  <c r="CN9" i="19" s="1"/>
  <c r="AB26" i="9"/>
  <c r="AX9" i="19" s="1"/>
  <c r="CH23" i="9"/>
  <c r="AE22" i="9"/>
  <c r="BA5" i="19" s="1"/>
  <c r="AN28" i="9"/>
  <c r="BJ11" i="19" s="1"/>
  <c r="AG22" i="9"/>
  <c r="Q29" i="9"/>
  <c r="AM12" i="19" s="1"/>
  <c r="AY27" i="9"/>
  <c r="BU10" i="19" s="1"/>
  <c r="BX26" i="9"/>
  <c r="CT9" i="19" s="1"/>
  <c r="CN25" i="9"/>
  <c r="DJ8" i="19" s="1"/>
  <c r="AC24" i="9"/>
  <c r="AY7" i="19" s="1"/>
  <c r="AX24" i="9"/>
  <c r="BT7" i="19" s="1"/>
  <c r="AX26" i="9"/>
  <c r="BT9" i="19" s="1"/>
  <c r="AH24" i="9"/>
  <c r="BD7" i="19" s="1"/>
  <c r="AP21" i="9"/>
  <c r="AH26" i="9"/>
  <c r="BD9" i="19" s="1"/>
  <c r="S29" i="9"/>
  <c r="AO12" i="19" s="1"/>
  <c r="AD20" i="9"/>
  <c r="AZ3" i="19" s="1"/>
  <c r="AB23" i="9"/>
  <c r="Y22" i="9"/>
  <c r="CD20" i="9"/>
  <c r="BR29" i="9"/>
  <c r="CN12" i="19" s="1"/>
  <c r="AK28" i="9"/>
  <c r="BG11" i="19" s="1"/>
  <c r="CJ23" i="9"/>
  <c r="BE26" i="9"/>
  <c r="CA9" i="19" s="1"/>
  <c r="X20" i="9"/>
  <c r="AJ27" i="9"/>
  <c r="BF10" i="19" s="1"/>
  <c r="AL21" i="9"/>
  <c r="AQ27" i="9"/>
  <c r="BM10" i="19" s="1"/>
  <c r="AO22" i="9"/>
  <c r="CL25" i="9"/>
  <c r="DH8" i="19" s="1"/>
  <c r="CJ29" i="9"/>
  <c r="DF12" i="19" s="1"/>
  <c r="P21" i="9"/>
  <c r="BS20" i="9"/>
  <c r="L25" i="9"/>
  <c r="AH8" i="19" s="1"/>
  <c r="AJ28" i="9"/>
  <c r="BF11" i="19" s="1"/>
  <c r="AP25" i="9"/>
  <c r="BL8" i="19" s="1"/>
  <c r="AS26" i="9"/>
  <c r="BO9" i="19" s="1"/>
  <c r="BD22" i="9"/>
  <c r="AY29" i="9"/>
  <c r="BU12" i="19" s="1"/>
  <c r="AX28" i="9"/>
  <c r="BT11" i="19" s="1"/>
  <c r="BY29" i="9"/>
  <c r="CU12" i="19" s="1"/>
  <c r="G22" i="9"/>
  <c r="CR20" i="9"/>
  <c r="AN25" i="9"/>
  <c r="BJ8" i="19" s="1"/>
  <c r="BA20" i="9"/>
  <c r="CI28" i="9"/>
  <c r="DE11" i="19" s="1"/>
  <c r="CH25" i="9"/>
  <c r="DD8" i="19" s="1"/>
  <c r="CJ21" i="9"/>
  <c r="BG20" i="9"/>
  <c r="BN23" i="9"/>
  <c r="AH21" i="9"/>
  <c r="O28" i="9"/>
  <c r="AK11" i="19" s="1"/>
  <c r="CF26" i="9"/>
  <c r="DB9" i="19" s="1"/>
  <c r="AM24" i="9"/>
  <c r="BI7" i="19" s="1"/>
  <c r="CB29" i="9"/>
  <c r="CX12" i="19" s="1"/>
  <c r="CE26" i="9"/>
  <c r="DA9" i="19" s="1"/>
  <c r="CJ28" i="9"/>
  <c r="DF11" i="19" s="1"/>
  <c r="BQ24" i="9"/>
  <c r="CM7" i="19" s="1"/>
  <c r="BF21" i="9"/>
  <c r="H26" i="9"/>
  <c r="AD9" i="19" s="1"/>
  <c r="CK20" i="9"/>
  <c r="G27" i="9"/>
  <c r="AC10" i="19" s="1"/>
  <c r="BU25" i="9"/>
  <c r="CQ8" i="19" s="1"/>
  <c r="AH23" i="9"/>
  <c r="CN29" i="9"/>
  <c r="DJ12" i="19" s="1"/>
  <c r="E26" i="9"/>
  <c r="AA9" i="19" s="1"/>
  <c r="K26" i="9"/>
  <c r="AG9" i="19" s="1"/>
  <c r="CD23" i="9"/>
  <c r="X22" i="9"/>
  <c r="BG23" i="9"/>
  <c r="BR28" i="9"/>
  <c r="CN11" i="19" s="1"/>
  <c r="O26" i="9"/>
  <c r="AK9" i="19" s="1"/>
  <c r="BS29" i="9"/>
  <c r="CO12" i="19" s="1"/>
  <c r="AU25" i="9"/>
  <c r="BQ8" i="19" s="1"/>
  <c r="BB26" i="9"/>
  <c r="BX9" i="19" s="1"/>
  <c r="BN28" i="9"/>
  <c r="CJ11" i="19" s="1"/>
  <c r="BB27" i="9"/>
  <c r="BX10" i="19" s="1"/>
  <c r="AB25" i="9"/>
  <c r="AX8" i="19" s="1"/>
  <c r="F23" i="9"/>
  <c r="BA22" i="9"/>
  <c r="BH27" i="9"/>
  <c r="CD10" i="19" s="1"/>
  <c r="BM23" i="9"/>
  <c r="AU28" i="9"/>
  <c r="BQ11" i="19" s="1"/>
  <c r="Z26" i="9"/>
  <c r="AV9" i="19" s="1"/>
  <c r="X23" i="9"/>
  <c r="AT6" i="19" s="1"/>
  <c r="BV22" i="9"/>
  <c r="J26" i="9"/>
  <c r="AF9" i="19" s="1"/>
  <c r="H21" i="9"/>
  <c r="BB21" i="9"/>
  <c r="BE21" i="9"/>
  <c r="J20" i="9"/>
  <c r="CE20" i="9"/>
  <c r="W28" i="9"/>
  <c r="AS11" i="19" s="1"/>
  <c r="AP20" i="9"/>
  <c r="BI20" i="9"/>
  <c r="CE3" i="19" s="1"/>
  <c r="AP26" i="9"/>
  <c r="BL9" i="19" s="1"/>
  <c r="CN27" i="9"/>
  <c r="DJ10" i="19" s="1"/>
  <c r="CL27" i="9"/>
  <c r="DH10" i="19" s="1"/>
  <c r="BU22" i="9"/>
  <c r="BO23" i="9"/>
  <c r="W20" i="9"/>
  <c r="CK23" i="9"/>
  <c r="AS29" i="9"/>
  <c r="BO12" i="19" s="1"/>
  <c r="BW20" i="9"/>
  <c r="AI21" i="9"/>
  <c r="BD24" i="9"/>
  <c r="BZ7" i="19" s="1"/>
  <c r="N21" i="9"/>
  <c r="CA28" i="9"/>
  <c r="CW11" i="19" s="1"/>
  <c r="AG28" i="9"/>
  <c r="BC11" i="19" s="1"/>
  <c r="AN22" i="9"/>
  <c r="BS26" i="9"/>
  <c r="CO9" i="19" s="1"/>
  <c r="AJ23" i="9"/>
  <c r="CG24" i="9"/>
  <c r="DC7" i="19" s="1"/>
  <c r="V28" i="9"/>
  <c r="AR11" i="19" s="1"/>
  <c r="Z29" i="9"/>
  <c r="AV12" i="19" s="1"/>
  <c r="AR26" i="9"/>
  <c r="BN9" i="19" s="1"/>
  <c r="BJ25" i="9"/>
  <c r="CF8" i="19" s="1"/>
  <c r="F26" i="9"/>
  <c r="AB9" i="19" s="1"/>
  <c r="AW23" i="9"/>
  <c r="CI25" i="9"/>
  <c r="DE8" i="19" s="1"/>
  <c r="CQ27" i="9"/>
  <c r="DM10" i="19" s="1"/>
  <c r="M22" i="9"/>
  <c r="U28" i="9"/>
  <c r="AQ11" i="19" s="1"/>
  <c r="N25" i="9"/>
  <c r="AJ8" i="19" s="1"/>
  <c r="BB29" i="9"/>
  <c r="BX12" i="19" s="1"/>
  <c r="CM20" i="9"/>
  <c r="CD25" i="9"/>
  <c r="CZ8" i="19" s="1"/>
  <c r="M29" i="9"/>
  <c r="AI12" i="19" s="1"/>
  <c r="F20" i="9"/>
  <c r="BH24" i="9"/>
  <c r="CD7" i="19" s="1"/>
  <c r="AW29" i="9"/>
  <c r="BS12" i="19" s="1"/>
  <c r="L21" i="9"/>
  <c r="AR22" i="9"/>
  <c r="AW24" i="9"/>
  <c r="BS7" i="19" s="1"/>
  <c r="T26" i="9"/>
  <c r="AP9" i="19" s="1"/>
  <c r="CD24" i="9"/>
  <c r="CZ7" i="19" s="1"/>
  <c r="I24" i="9"/>
  <c r="AE7" i="19" s="1"/>
  <c r="CH22" i="9"/>
  <c r="W23" i="9"/>
  <c r="AS6" i="19" s="1"/>
  <c r="BH23" i="9"/>
  <c r="AB29" i="9"/>
  <c r="AX12" i="19" s="1"/>
  <c r="BX28" i="9"/>
  <c r="CT11" i="19" s="1"/>
  <c r="CJ27" i="9"/>
  <c r="DF10" i="19" s="1"/>
  <c r="AY22" i="9"/>
  <c r="U20" i="9"/>
  <c r="K22" i="9"/>
  <c r="BR21" i="9"/>
  <c r="CA26" i="9"/>
  <c r="CW9" i="19" s="1"/>
  <c r="AT25" i="9"/>
  <c r="BP8" i="19" s="1"/>
  <c r="BW23" i="9"/>
  <c r="AL29" i="9"/>
  <c r="BH12" i="19" s="1"/>
  <c r="AW20" i="9"/>
  <c r="F29" i="9"/>
  <c r="AB12" i="19" s="1"/>
  <c r="BV25" i="9"/>
  <c r="CR8" i="19" s="1"/>
  <c r="AG23" i="9"/>
  <c r="BT27" i="9"/>
  <c r="CP10" i="19" s="1"/>
  <c r="AD27" i="9"/>
  <c r="AZ10" i="19" s="1"/>
  <c r="BK22" i="9"/>
  <c r="Y23" i="9"/>
  <c r="AU6" i="19" s="1"/>
  <c r="AV28" i="9"/>
  <c r="BR11" i="19" s="1"/>
  <c r="V21" i="9"/>
  <c r="K21" i="9"/>
  <c r="AM28" i="9"/>
  <c r="BI11" i="19" s="1"/>
  <c r="T25" i="9"/>
  <c r="AP8" i="19" s="1"/>
  <c r="H25" i="9"/>
  <c r="AD8" i="19" s="1"/>
  <c r="BK23" i="9"/>
  <c r="AJ24" i="9"/>
  <c r="BF7" i="19" s="1"/>
  <c r="AS23" i="9"/>
  <c r="AO23" i="9"/>
  <c r="J21" i="9"/>
  <c r="Y26" i="9"/>
  <c r="AU9" i="19" s="1"/>
  <c r="P27" i="9"/>
  <c r="AL10" i="19" s="1"/>
  <c r="I25" i="9"/>
  <c r="AE8" i="19" s="1"/>
  <c r="AZ26" i="9"/>
  <c r="BV9" i="19" s="1"/>
  <c r="W29" i="9"/>
  <c r="AS12" i="19" s="1"/>
  <c r="CB23" i="9"/>
  <c r="CF29" i="9"/>
  <c r="DB12" i="19" s="1"/>
  <c r="CE25" i="9"/>
  <c r="DA8" i="19" s="1"/>
  <c r="M26" i="9"/>
  <c r="AI9" i="19" s="1"/>
  <c r="AD29" i="9"/>
  <c r="AZ12" i="19" s="1"/>
  <c r="CC27" i="9"/>
  <c r="CY10" i="19" s="1"/>
  <c r="AR28" i="9"/>
  <c r="BN11" i="19" s="1"/>
  <c r="CE22" i="9"/>
  <c r="AR21" i="9"/>
  <c r="AI24" i="9"/>
  <c r="BE7" i="19" s="1"/>
  <c r="AM23" i="9"/>
  <c r="CC26" i="9"/>
  <c r="CY9" i="19" s="1"/>
  <c r="BZ25" i="9"/>
  <c r="CV8" i="19" s="1"/>
  <c r="CB28" i="9"/>
  <c r="CX11" i="19" s="1"/>
  <c r="AY24" i="9"/>
  <c r="BU7" i="19" s="1"/>
  <c r="M24" i="9"/>
  <c r="AI7" i="19" s="1"/>
  <c r="BA26" i="9"/>
  <c r="BW9" i="19" s="1"/>
  <c r="AO24" i="9"/>
  <c r="BK7" i="19" s="1"/>
  <c r="CQ25" i="9"/>
  <c r="DM8" i="19" s="1"/>
  <c r="CG23" i="9"/>
  <c r="DC6" i="19" s="1"/>
  <c r="Y27" i="9"/>
  <c r="AU10" i="19" s="1"/>
  <c r="CP22" i="9"/>
  <c r="CP25" i="9"/>
  <c r="DL8" i="19" s="1"/>
  <c r="P28" i="9"/>
  <c r="AL11" i="19" s="1"/>
  <c r="W27" i="9"/>
  <c r="AS10" i="19" s="1"/>
  <c r="AC20" i="9"/>
  <c r="BK25" i="9"/>
  <c r="CG8" i="19" s="1"/>
  <c r="U27" i="9"/>
  <c r="AQ10" i="19" s="1"/>
  <c r="BF26" i="9"/>
  <c r="CB9" i="19" s="1"/>
  <c r="CE23" i="9"/>
  <c r="BK28" i="9"/>
  <c r="CG11" i="19" s="1"/>
  <c r="G25" i="9"/>
  <c r="AC8" i="19" s="1"/>
  <c r="AM25" i="9"/>
  <c r="BI8" i="19" s="1"/>
  <c r="K14" i="5"/>
  <c r="Q27" i="9"/>
  <c r="AM10" i="19" s="1"/>
  <c r="R22" i="9"/>
  <c r="AW22" i="9"/>
  <c r="BY26" i="9"/>
  <c r="CU9" i="19" s="1"/>
  <c r="Y29" i="9"/>
  <c r="AU12" i="19" s="1"/>
  <c r="BN26" i="9"/>
  <c r="CJ9" i="19" s="1"/>
  <c r="T24" i="9"/>
  <c r="AP7" i="19" s="1"/>
  <c r="AA22" i="9"/>
  <c r="AK29" i="9"/>
  <c r="BG12" i="19" s="1"/>
  <c r="CI21" i="9"/>
  <c r="G21" i="9"/>
  <c r="BB23" i="9"/>
  <c r="T22" i="9"/>
  <c r="AS25" i="9"/>
  <c r="BO8" i="19" s="1"/>
  <c r="AY28" i="9"/>
  <c r="BU11" i="19" s="1"/>
  <c r="BP21" i="9"/>
  <c r="P24" i="9"/>
  <c r="AL7" i="19" s="1"/>
  <c r="H27" i="9"/>
  <c r="AD10" i="19" s="1"/>
  <c r="AZ24" i="9"/>
  <c r="BV7" i="19" s="1"/>
  <c r="BH22" i="9"/>
  <c r="X21" i="9"/>
  <c r="AG27" i="9"/>
  <c r="BC10" i="19" s="1"/>
  <c r="K23" i="9"/>
  <c r="BM26" i="9"/>
  <c r="CI9" i="19" s="1"/>
  <c r="BJ23" i="9"/>
  <c r="CR28" i="9"/>
  <c r="DN11" i="19" s="1"/>
  <c r="K28" i="9"/>
  <c r="AG11" i="19" s="1"/>
  <c r="R26" i="9"/>
  <c r="AN9" i="19" s="1"/>
  <c r="AF24" i="9"/>
  <c r="BB7" i="19" s="1"/>
  <c r="AN24" i="9"/>
  <c r="BJ7" i="19" s="1"/>
  <c r="BO25" i="9"/>
  <c r="CK8" i="19" s="1"/>
  <c r="BT29" i="9"/>
  <c r="CP12" i="19" s="1"/>
  <c r="BZ22" i="9"/>
  <c r="BC24" i="9"/>
  <c r="BY7" i="19" s="1"/>
  <c r="AR29" i="9"/>
  <c r="BN12" i="19" s="1"/>
  <c r="CO27" i="9"/>
  <c r="DK10" i="19" s="1"/>
  <c r="P23" i="9"/>
  <c r="AN26" i="9"/>
  <c r="BJ9" i="19" s="1"/>
  <c r="CC28" i="9"/>
  <c r="CY11" i="19" s="1"/>
  <c r="E25" i="9"/>
  <c r="AA8" i="19" s="1"/>
  <c r="O22" i="9"/>
  <c r="BG22" i="9"/>
  <c r="BE24" i="9"/>
  <c r="CA7" i="19" s="1"/>
  <c r="Y20" i="9"/>
  <c r="CR29" i="9"/>
  <c r="DN12" i="19" s="1"/>
  <c r="BF28" i="9"/>
  <c r="CB11" i="19" s="1"/>
  <c r="CC20" i="9"/>
  <c r="L29" i="9"/>
  <c r="AH12" i="19" s="1"/>
  <c r="BP28" i="9"/>
  <c r="CL11" i="19" s="1"/>
  <c r="AB27" i="9"/>
  <c r="AX10" i="19" s="1"/>
  <c r="E24" i="9"/>
  <c r="AA7" i="19" s="1"/>
  <c r="CQ24" i="9"/>
  <c r="DM7" i="19" s="1"/>
  <c r="AE25" i="9"/>
  <c r="BA8" i="19" s="1"/>
  <c r="M25" i="9"/>
  <c r="AI8" i="19" s="1"/>
  <c r="AS28" i="9"/>
  <c r="BO11" i="19" s="1"/>
  <c r="CA21" i="9"/>
  <c r="V24" i="9"/>
  <c r="AR7" i="19" s="1"/>
  <c r="CA20" i="9"/>
  <c r="AJ26" i="9"/>
  <c r="BF9" i="19" s="1"/>
  <c r="BK26" i="9"/>
  <c r="CG9" i="19" s="1"/>
  <c r="CN28" i="9"/>
  <c r="DJ11" i="19" s="1"/>
  <c r="BJ28" i="9"/>
  <c r="CF11" i="19" s="1"/>
  <c r="Z20" i="9"/>
  <c r="R25" i="9"/>
  <c r="AN8" i="19" s="1"/>
  <c r="P29" i="9"/>
  <c r="AL12" i="19" s="1"/>
  <c r="AQ26" i="9"/>
  <c r="BM9" i="19" s="1"/>
  <c r="AV29" i="9"/>
  <c r="BR12" i="19" s="1"/>
  <c r="Q28" i="9"/>
  <c r="AM11" i="19" s="1"/>
  <c r="AH28" i="9"/>
  <c r="BD11" i="19" s="1"/>
  <c r="BS22" i="9"/>
  <c r="BJ22" i="9"/>
  <c r="AD24" i="9"/>
  <c r="AZ7" i="19" s="1"/>
  <c r="Q24" i="9"/>
  <c r="AM7" i="19" s="1"/>
  <c r="E20" i="9"/>
  <c r="BW29" i="9"/>
  <c r="CS12" i="19" s="1"/>
  <c r="CI22" i="9"/>
  <c r="H20" i="9"/>
  <c r="AX21" i="9"/>
  <c r="G24" i="9"/>
  <c r="AC7" i="19" s="1"/>
  <c r="E27" i="9"/>
  <c r="AA10" i="19" s="1"/>
  <c r="BJ29" i="9"/>
  <c r="CF12" i="19" s="1"/>
  <c r="AJ22" i="9"/>
  <c r="AO20" i="9"/>
  <c r="CK28" i="9"/>
  <c r="DG11" i="19" s="1"/>
  <c r="Z25" i="9"/>
  <c r="AV8" i="19" s="1"/>
  <c r="CJ25" i="9"/>
  <c r="DF8" i="19" s="1"/>
  <c r="CM29" i="9"/>
  <c r="DI12" i="19" s="1"/>
  <c r="Q25" i="9"/>
  <c r="AM8" i="19" s="1"/>
  <c r="S21" i="9"/>
  <c r="BN29" i="9"/>
  <c r="CJ12" i="19" s="1"/>
  <c r="BM29" i="9"/>
  <c r="CI12" i="19" s="1"/>
  <c r="BO27" i="9"/>
  <c r="CK10" i="19" s="1"/>
  <c r="BZ29" i="9"/>
  <c r="CV12" i="19" s="1"/>
  <c r="AL25" i="9"/>
  <c r="BH8" i="19" s="1"/>
  <c r="CC22" i="9"/>
  <c r="AE29" i="9"/>
  <c r="BA12" i="19" s="1"/>
  <c r="AW25" i="9"/>
  <c r="BS8" i="19" s="1"/>
  <c r="N26" i="9"/>
  <c r="AJ9" i="19" s="1"/>
  <c r="CG26" i="9"/>
  <c r="DC9" i="19" s="1"/>
  <c r="AQ24" i="9"/>
  <c r="BM7" i="19" s="1"/>
  <c r="BH29" i="9"/>
  <c r="CD12" i="19" s="1"/>
  <c r="CM26" i="9"/>
  <c r="DI9" i="19" s="1"/>
  <c r="BB22" i="9"/>
  <c r="BQ27" i="9"/>
  <c r="CM10" i="19" s="1"/>
  <c r="CA27" i="9"/>
  <c r="CW10" i="19" s="1"/>
  <c r="BX20" i="9"/>
  <c r="BJ20" i="9"/>
  <c r="CF3" i="19" s="1"/>
  <c r="BO22" i="9"/>
  <c r="AM21" i="9"/>
  <c r="CO22" i="9"/>
  <c r="AE27" i="9"/>
  <c r="BA10" i="19" s="1"/>
  <c r="BV26" i="9"/>
  <c r="CR9" i="19" s="1"/>
  <c r="CR26" i="9"/>
  <c r="DN9" i="19" s="1"/>
  <c r="F28" i="9"/>
  <c r="AB11" i="19" s="1"/>
  <c r="BZ28" i="9"/>
  <c r="CV11" i="19" s="1"/>
  <c r="BZ27" i="9"/>
  <c r="CV10" i="19" s="1"/>
  <c r="L24" i="9"/>
  <c r="AH7" i="19" s="1"/>
  <c r="BZ24" i="9"/>
  <c r="CV7" i="19" s="1"/>
  <c r="CB20" i="9"/>
  <c r="AO28" i="9"/>
  <c r="BK11" i="19" s="1"/>
  <c r="AT23" i="9"/>
  <c r="X29" i="9"/>
  <c r="AT12" i="19" s="1"/>
  <c r="Y21" i="9"/>
  <c r="AD26" i="9"/>
  <c r="AZ9" i="19" s="1"/>
  <c r="BC26" i="9"/>
  <c r="BY9" i="19" s="1"/>
  <c r="AN20" i="9"/>
  <c r="AR20" i="9"/>
  <c r="BA24" i="9"/>
  <c r="BW7" i="19" s="1"/>
  <c r="AD25" i="9"/>
  <c r="AZ8" i="19" s="1"/>
  <c r="BL24" i="9"/>
  <c r="CH7" i="19" s="1"/>
  <c r="H22" i="9"/>
  <c r="CK22" i="9"/>
  <c r="CH24" i="9"/>
  <c r="DD7" i="19" s="1"/>
  <c r="CC29" i="9"/>
  <c r="CY12" i="19" s="1"/>
  <c r="BL23" i="9"/>
  <c r="BN20" i="9"/>
  <c r="CA24" i="9"/>
  <c r="CW7" i="19" s="1"/>
  <c r="BV23" i="9"/>
  <c r="AX20" i="9"/>
  <c r="H29" i="9"/>
  <c r="AD12" i="19" s="1"/>
  <c r="F24" i="9"/>
  <c r="AB7" i="19" s="1"/>
  <c r="BM22" i="9"/>
  <c r="CI5" i="19" s="1"/>
  <c r="AP29" i="9"/>
  <c r="BL12" i="19" s="1"/>
  <c r="AC29" i="9"/>
  <c r="AY12" i="19" s="1"/>
  <c r="BU29" i="9"/>
  <c r="CQ12" i="19" s="1"/>
  <c r="J28" i="9"/>
  <c r="AF11" i="19" s="1"/>
  <c r="AG26" i="9"/>
  <c r="BC9" i="19" s="1"/>
  <c r="CF22" i="9"/>
  <c r="BU24" i="9"/>
  <c r="CQ7" i="19" s="1"/>
  <c r="AF23" i="9"/>
  <c r="AX29" i="9"/>
  <c r="BT12" i="19" s="1"/>
  <c r="BC23" i="9"/>
  <c r="U23" i="9"/>
  <c r="AQ6" i="19" s="1"/>
  <c r="CG25" i="9"/>
  <c r="DC8" i="19" s="1"/>
  <c r="Y24" i="9"/>
  <c r="AU7" i="19" s="1"/>
  <c r="BR27" i="9"/>
  <c r="CN10" i="19" s="1"/>
  <c r="AS22" i="9"/>
  <c r="AY25" i="9"/>
  <c r="BU8" i="19" s="1"/>
  <c r="CR24" i="9"/>
  <c r="DN7" i="19" s="1"/>
  <c r="AJ21" i="9"/>
  <c r="AF29" i="9"/>
  <c r="BB12" i="19" s="1"/>
  <c r="CA22" i="9"/>
  <c r="AE26" i="9"/>
  <c r="BA9" i="19" s="1"/>
  <c r="BJ21" i="9"/>
  <c r="BT21" i="9"/>
  <c r="BV27" i="9"/>
  <c r="CR10" i="19" s="1"/>
  <c r="F22" i="9"/>
  <c r="O29" i="9"/>
  <c r="AK12" i="19" s="1"/>
  <c r="Q23" i="9"/>
  <c r="I23" i="9"/>
  <c r="M21" i="9"/>
  <c r="BQ20" i="9"/>
  <c r="AG21" i="9"/>
  <c r="BP23" i="9"/>
  <c r="BL29" i="9"/>
  <c r="CH12" i="19" s="1"/>
  <c r="BW26" i="9"/>
  <c r="CS9" i="19" s="1"/>
  <c r="BY25" i="9"/>
  <c r="CU8" i="19" s="1"/>
  <c r="AH29" i="9"/>
  <c r="BD12" i="19" s="1"/>
  <c r="AM29" i="9"/>
  <c r="BI12" i="19" s="1"/>
  <c r="Q20" i="9"/>
  <c r="BF22" i="9"/>
  <c r="AR24" i="9"/>
  <c r="BN7" i="19" s="1"/>
  <c r="AF28" i="9"/>
  <c r="BB11" i="19" s="1"/>
  <c r="AK25" i="9"/>
  <c r="BG8" i="19" s="1"/>
  <c r="Z22" i="9"/>
  <c r="BW27" i="9"/>
  <c r="CS10" i="19" s="1"/>
  <c r="O27" i="9"/>
  <c r="AK10" i="19" s="1"/>
  <c r="CJ22" i="9"/>
  <c r="AT22" i="9"/>
  <c r="AN23" i="9"/>
  <c r="CK21" i="9"/>
  <c r="BN24" i="9"/>
  <c r="CJ7" i="19" s="1"/>
  <c r="CL23" i="9"/>
  <c r="BI23" i="9"/>
  <c r="AX23" i="9"/>
  <c r="BW21" i="9"/>
  <c r="R29" i="9"/>
  <c r="AN12" i="19" s="1"/>
  <c r="BO20" i="9"/>
  <c r="CB21" i="9"/>
  <c r="BX21" i="9"/>
  <c r="BM25" i="9"/>
  <c r="CI8" i="19" s="1"/>
  <c r="AB22" i="9"/>
  <c r="AO25" i="9"/>
  <c r="BK8" i="19" s="1"/>
  <c r="AJ29" i="9"/>
  <c r="BF12" i="19" s="1"/>
  <c r="CD28" i="9"/>
  <c r="CZ11" i="19" s="1"/>
  <c r="AF21" i="9"/>
  <c r="CK24" i="9"/>
  <c r="DG7" i="19" s="1"/>
  <c r="H23" i="9"/>
  <c r="CF25" i="9"/>
  <c r="DB8" i="19" s="1"/>
  <c r="Z21" i="9"/>
  <c r="BU26" i="9"/>
  <c r="CQ9" i="19" s="1"/>
  <c r="AI29" i="9"/>
  <c r="BE12" i="19" s="1"/>
  <c r="AQ29" i="9"/>
  <c r="BM12" i="19" s="1"/>
  <c r="F27" i="9"/>
  <c r="AB10" i="19" s="1"/>
  <c r="Q22" i="9"/>
  <c r="BC21" i="9"/>
  <c r="BK27" i="9"/>
  <c r="CG10" i="19" s="1"/>
  <c r="AW21" i="9"/>
  <c r="BF24" i="9"/>
  <c r="CB7" i="19" s="1"/>
  <c r="AO26" i="9"/>
  <c r="BK9" i="19" s="1"/>
  <c r="BN25" i="9"/>
  <c r="CJ8" i="19" s="1"/>
  <c r="X27" i="9"/>
  <c r="AT10" i="19" s="1"/>
  <c r="AQ20" i="9"/>
  <c r="AV26" i="9"/>
  <c r="BR9" i="19" s="1"/>
  <c r="U29" i="9"/>
  <c r="AQ12" i="19" s="1"/>
  <c r="O21" i="9"/>
  <c r="U22" i="9"/>
  <c r="V20" i="9"/>
  <c r="CQ21" i="9"/>
  <c r="AV27" i="9"/>
  <c r="BR10" i="19" s="1"/>
  <c r="BU20" i="9"/>
  <c r="BN21" i="9"/>
  <c r="BG29" i="9"/>
  <c r="CC12" i="19" s="1"/>
  <c r="W26" i="9"/>
  <c r="AS9" i="19" s="1"/>
  <c r="BL21" i="9"/>
  <c r="CP23" i="9"/>
  <c r="AS20" i="9"/>
  <c r="AM20" i="9"/>
  <c r="CK29" i="9"/>
  <c r="DG12" i="19" s="1"/>
  <c r="P25" i="9"/>
  <c r="AL8" i="19" s="1"/>
  <c r="M20" i="9"/>
  <c r="AS27" i="9"/>
  <c r="BO10" i="19" s="1"/>
  <c r="AG25" i="9"/>
  <c r="BC8" i="19" s="1"/>
  <c r="V26" i="9"/>
  <c r="AR9" i="19" s="1"/>
  <c r="BO24" i="9"/>
  <c r="CK7" i="19" s="1"/>
  <c r="BF27" i="9"/>
  <c r="CB10" i="19" s="1"/>
  <c r="AY26" i="9"/>
  <c r="BU9" i="19" s="1"/>
  <c r="AV20" i="9"/>
  <c r="AI23" i="9"/>
  <c r="AS24" i="9"/>
  <c r="BO7" i="19" s="1"/>
  <c r="AY23" i="9"/>
  <c r="T29" i="9"/>
  <c r="AP12" i="19" s="1"/>
  <c r="CC25" i="9"/>
  <c r="CY8" i="19" s="1"/>
  <c r="BG26" i="9"/>
  <c r="CC9" i="19" s="1"/>
  <c r="F21" i="9"/>
  <c r="AX25" i="9"/>
  <c r="BT8" i="19" s="1"/>
  <c r="CH29" i="9"/>
  <c r="DD12" i="19" s="1"/>
  <c r="BG24" i="9"/>
  <c r="CC7" i="19" s="1"/>
  <c r="BK29" i="9"/>
  <c r="CG12" i="19" s="1"/>
  <c r="CP24" i="9"/>
  <c r="DL7" i="19" s="1"/>
  <c r="AC25" i="9"/>
  <c r="AY8" i="19" s="1"/>
  <c r="AK27" i="9"/>
  <c r="BG10" i="19" s="1"/>
  <c r="CP26" i="9"/>
  <c r="DL9" i="19" s="1"/>
  <c r="AG20" i="9"/>
  <c r="AE21" i="9"/>
  <c r="BA4" i="19" s="1"/>
  <c r="BE20" i="9"/>
  <c r="AA29" i="9"/>
  <c r="AW12" i="19" s="1"/>
  <c r="E23" i="9"/>
  <c r="AL26" i="9"/>
  <c r="BH9" i="19" s="1"/>
  <c r="AB21" i="9"/>
  <c r="BC22" i="9"/>
  <c r="AE23" i="9"/>
  <c r="BA6" i="19" s="1"/>
  <c r="CB22" i="9"/>
  <c r="AX22" i="9"/>
  <c r="N23" i="9"/>
  <c r="BV24" i="9"/>
  <c r="CR7" i="19" s="1"/>
  <c r="CF23" i="9"/>
  <c r="CN20" i="9"/>
  <c r="K14" i="22"/>
  <c r="T21" i="9"/>
  <c r="BG25" i="9"/>
  <c r="CC8" i="19" s="1"/>
  <c r="DV37" i="19"/>
  <c r="FM3" i="19"/>
  <c r="CE6" i="19"/>
  <c r="CF4" i="19"/>
  <c r="DA4" i="19"/>
  <c r="CQ4" i="19"/>
  <c r="CI4" i="19"/>
  <c r="FN4" i="19"/>
  <c r="FN3" i="19"/>
  <c r="FF4" i="19"/>
  <c r="FM4" i="19"/>
  <c r="EV4" i="19"/>
  <c r="L10" i="9"/>
  <c r="L9" i="9"/>
  <c r="P8" i="9"/>
  <c r="P9" i="9"/>
  <c r="L8"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BE55" i="9"/>
  <c r="F1882" i="22"/>
  <c r="F514" i="14"/>
  <c r="H134" i="15"/>
  <c r="P55" i="9"/>
  <c r="J324" i="14"/>
  <c r="F324" i="14"/>
  <c r="H286" i="14"/>
  <c r="BS55" i="9"/>
  <c r="BO55" i="9"/>
  <c r="CK55" i="9"/>
  <c r="G55" i="9"/>
  <c r="F704" i="14"/>
  <c r="Q55" i="9"/>
  <c r="J666" i="14"/>
  <c r="AF55" i="9"/>
  <c r="F210" i="14"/>
  <c r="H172" i="15"/>
  <c r="BF55" i="9"/>
  <c r="CH55" i="9"/>
  <c r="F172" i="14"/>
  <c r="BX55" i="9"/>
  <c r="BZ55" i="9"/>
  <c r="N55" i="9"/>
  <c r="F134" i="15"/>
  <c r="BQ55" i="9"/>
  <c r="G172" i="15"/>
  <c r="W55" i="9"/>
  <c r="AE55" i="9"/>
  <c r="G96" i="14"/>
  <c r="AL55" i="9"/>
  <c r="G324" i="14"/>
  <c r="CC55" i="9"/>
  <c r="AB55" i="9"/>
  <c r="I210" i="14"/>
  <c r="F1692" i="21"/>
  <c r="G286" i="14"/>
  <c r="J362" i="14"/>
  <c r="M55" i="9"/>
  <c r="Y55" i="9"/>
  <c r="I248" i="14"/>
  <c r="J96" i="14"/>
  <c r="CD55" i="9"/>
  <c r="BW55" i="9"/>
  <c r="H96" i="14"/>
  <c r="G134" i="14"/>
  <c r="K55" i="9"/>
  <c r="H324" i="14"/>
  <c r="I324" i="14"/>
  <c r="T55" i="9"/>
  <c r="I134" i="15"/>
  <c r="BM55" i="9"/>
  <c r="J55" i="9"/>
  <c r="V55" i="9"/>
  <c r="J210" i="14"/>
  <c r="AZ55" i="9"/>
  <c r="CN55" i="9"/>
  <c r="F134" i="14"/>
  <c r="AT55" i="9"/>
  <c r="CL55" i="9"/>
  <c r="AG55" i="9"/>
  <c r="I514" i="14"/>
  <c r="J628" i="14"/>
  <c r="CF55" i="9"/>
  <c r="AO55" i="9"/>
  <c r="Z55" i="9"/>
  <c r="J1692" i="21"/>
  <c r="I362" i="14"/>
  <c r="F248" i="14"/>
  <c r="I286" i="14"/>
  <c r="J172" i="14"/>
  <c r="CJ55" i="9"/>
  <c r="AP55" i="9"/>
  <c r="I628" i="14"/>
  <c r="BD55" i="9"/>
  <c r="G704" i="14"/>
  <c r="AK55" i="9"/>
  <c r="I1882" i="22"/>
  <c r="S55" i="9"/>
  <c r="G1882" i="22"/>
  <c r="AM55" i="9"/>
  <c r="H666" i="14"/>
  <c r="BC55" i="9"/>
  <c r="J514" i="14"/>
  <c r="L55" i="9"/>
  <c r="F286" i="14"/>
  <c r="CA55" i="9"/>
  <c r="G514" i="14"/>
  <c r="J1882" i="22"/>
  <c r="G628" i="14"/>
  <c r="H628" i="14"/>
  <c r="BJ55" i="9"/>
  <c r="AW55" i="9"/>
  <c r="AN55" i="9"/>
  <c r="CO55" i="9"/>
  <c r="I172" i="14"/>
  <c r="AA55" i="9"/>
  <c r="BN55" i="9"/>
  <c r="BB55" i="9"/>
  <c r="G134" i="15"/>
  <c r="J172" i="15"/>
  <c r="I134" i="14"/>
  <c r="BP55" i="9"/>
  <c r="BY55" i="9"/>
  <c r="F666" i="14"/>
  <c r="F96" i="14"/>
  <c r="BU55" i="9"/>
  <c r="H210" i="14"/>
  <c r="H400" i="14"/>
  <c r="F400" i="14"/>
  <c r="BT55" i="9"/>
  <c r="F362" i="14"/>
  <c r="X55" i="9"/>
  <c r="AD55" i="9"/>
  <c r="BG55" i="9"/>
  <c r="AQ55" i="9"/>
  <c r="CR55" i="9"/>
  <c r="AV55" i="9"/>
  <c r="I1692" i="21"/>
  <c r="BA55" i="9"/>
  <c r="F172" i="15"/>
  <c r="J400" i="14"/>
  <c r="J286" i="14"/>
  <c r="U55" i="9"/>
  <c r="G362" i="14"/>
  <c r="G248" i="14"/>
  <c r="AY55" i="9"/>
  <c r="H704" i="14"/>
  <c r="I666" i="14"/>
  <c r="J704" i="14"/>
  <c r="BR55" i="9"/>
  <c r="H1692" i="21"/>
  <c r="CG55" i="9"/>
  <c r="J248" i="14"/>
  <c r="G666" i="14"/>
  <c r="CB55" i="9"/>
  <c r="CP55" i="9"/>
  <c r="H1882" i="22"/>
  <c r="R55" i="9"/>
  <c r="AX55" i="9"/>
  <c r="CQ55" i="9"/>
  <c r="I96" i="14"/>
  <c r="J134" i="14"/>
  <c r="I400" i="14"/>
  <c r="AC55" i="9"/>
  <c r="G210" i="14"/>
  <c r="J134" i="15"/>
  <c r="G172" i="14"/>
  <c r="H172" i="14"/>
  <c r="F628" i="14"/>
  <c r="H514" i="14"/>
  <c r="AU55" i="9"/>
  <c r="CE55" i="9"/>
  <c r="BK55" i="9"/>
  <c r="I704" i="14"/>
  <c r="G400" i="14"/>
  <c r="AH55" i="9"/>
  <c r="E55" i="9"/>
  <c r="H134" i="14"/>
  <c r="AJ55" i="9"/>
  <c r="CI55" i="9"/>
  <c r="AR55" i="9"/>
  <c r="H362" i="14"/>
  <c r="H248" i="14"/>
  <c r="O55" i="9"/>
  <c r="BL55" i="9"/>
  <c r="H55" i="9"/>
  <c r="BI55" i="9"/>
  <c r="BV55" i="9"/>
  <c r="AI55" i="9"/>
  <c r="G1692" i="21"/>
  <c r="AS55" i="9"/>
  <c r="I172" i="15"/>
  <c r="F55" i="9"/>
  <c r="BH55" i="9"/>
  <c r="CM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426" i="22"/>
  <c r="G1008" i="22"/>
  <c r="G1578" i="22"/>
  <c r="H1844" i="22"/>
  <c r="H970" i="21"/>
  <c r="H1654" i="21"/>
  <c r="I1426" i="22"/>
  <c r="F1540" i="22"/>
  <c r="J1008" i="22"/>
  <c r="I1578" i="22"/>
  <c r="F970" i="21"/>
  <c r="J1654" i="21"/>
  <c r="I970" i="22"/>
  <c r="J1350" i="21"/>
  <c r="I1540" i="22"/>
  <c r="J1426" i="22"/>
  <c r="G1426" i="22"/>
  <c r="J1540" i="22"/>
  <c r="I1844" i="22"/>
  <c r="F1122" i="22"/>
  <c r="H1616" i="21"/>
  <c r="I1616" i="21"/>
  <c r="G970" i="21"/>
  <c r="G1616" i="21"/>
  <c r="J1122" i="22"/>
  <c r="F1654" i="21"/>
  <c r="F1578" i="22"/>
  <c r="F1616" i="21"/>
  <c r="G1844" i="22"/>
  <c r="I970" i="21"/>
  <c r="I1008" i="22"/>
  <c r="J970" i="21"/>
  <c r="H1122" i="22"/>
  <c r="F1008" i="22"/>
  <c r="I1654" i="21"/>
  <c r="G1540" i="22"/>
  <c r="G1122" i="22"/>
  <c r="I1350" i="21"/>
  <c r="G1654" i="21"/>
  <c r="J1578" i="22"/>
  <c r="I1122" i="22"/>
  <c r="J1616" i="21"/>
  <c r="H1578" i="22"/>
  <c r="F1844" i="22"/>
  <c r="H1350" i="21"/>
  <c r="H1008" i="22"/>
  <c r="H1540" i="22"/>
  <c r="F1350" i="21"/>
  <c r="J970" i="22"/>
  <c r="J1844" i="22"/>
  <c r="H970" i="22"/>
  <c r="G1350" i="21"/>
  <c r="G970" i="22"/>
  <c r="F1426" i="22"/>
  <c r="F970"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932" i="21"/>
  <c r="F58" i="21"/>
  <c r="G58" i="22"/>
  <c r="I58" i="13"/>
  <c r="G248" i="15"/>
  <c r="G932" i="21"/>
  <c r="F96" i="5"/>
  <c r="G818" i="21"/>
  <c r="J324" i="22"/>
  <c r="I58" i="14"/>
  <c r="G1160" i="21"/>
  <c r="F1236" i="22"/>
  <c r="F20" i="5"/>
  <c r="J58" i="14"/>
  <c r="I1046" i="21"/>
  <c r="G1388" i="22"/>
  <c r="G666" i="22"/>
  <c r="F1046" i="21"/>
  <c r="I818" i="21"/>
  <c r="H58" i="13"/>
  <c r="H362" i="21"/>
  <c r="F172" i="5"/>
  <c r="F438" i="22"/>
  <c r="I1160" i="22"/>
  <c r="J1274" i="22"/>
  <c r="G400" i="21"/>
  <c r="I932" i="21"/>
  <c r="G894" i="22"/>
  <c r="F1768" i="22"/>
  <c r="F1692" i="22"/>
  <c r="G1464" i="22"/>
  <c r="F210" i="5"/>
  <c r="F704" i="21"/>
  <c r="I20" i="22"/>
  <c r="G514" i="21"/>
  <c r="G514" i="22"/>
  <c r="J286" i="22"/>
  <c r="J58" i="13"/>
  <c r="F1502" i="22"/>
  <c r="H134" i="22"/>
  <c r="J1046" i="21"/>
  <c r="H1274" i="22"/>
  <c r="G780" i="22"/>
  <c r="G96" i="22"/>
  <c r="I552" i="22"/>
  <c r="F96" i="15"/>
  <c r="F1388" i="22"/>
  <c r="I590" i="22"/>
  <c r="F1540" i="21"/>
  <c r="I1806" i="22"/>
  <c r="I1768" i="22"/>
  <c r="H96" i="18"/>
  <c r="J324" i="21"/>
  <c r="H1806" i="22"/>
  <c r="G438" i="14"/>
  <c r="G286" i="15"/>
  <c r="H1654" i="22"/>
  <c r="F590" i="14"/>
  <c r="I590" i="21"/>
  <c r="F476" i="22"/>
  <c r="F134" i="5"/>
  <c r="I1464" i="21"/>
  <c r="J1122" i="21"/>
  <c r="G666" i="21"/>
  <c r="H20" i="18"/>
  <c r="I1084" i="22"/>
  <c r="I400" i="22"/>
  <c r="J172" i="22"/>
  <c r="H628" i="22"/>
  <c r="G1046" i="21"/>
  <c r="I210" i="5"/>
  <c r="G96" i="21"/>
  <c r="J894" i="21"/>
  <c r="J1502" i="21"/>
  <c r="G1046" i="22"/>
  <c r="G438" i="22"/>
  <c r="H172" i="18"/>
  <c r="J1654" i="22"/>
  <c r="J742" i="21"/>
  <c r="I248" i="22"/>
  <c r="I172" i="21"/>
  <c r="I1692" i="22"/>
  <c r="J1312" i="22"/>
  <c r="I20" i="5"/>
  <c r="F1046" i="22"/>
  <c r="I362" i="21"/>
  <c r="G362" i="21"/>
  <c r="H172" i="22"/>
  <c r="I324" i="21"/>
  <c r="I248" i="15"/>
  <c r="J210" i="21"/>
  <c r="F552" i="22"/>
  <c r="G20" i="22"/>
  <c r="J742" i="22"/>
  <c r="F96" i="18"/>
  <c r="I1730" i="22"/>
  <c r="F1084" i="21"/>
  <c r="G1084" i="22"/>
  <c r="I932" i="22"/>
  <c r="F1350" i="22"/>
  <c r="J476" i="22"/>
  <c r="H666" i="22"/>
  <c r="F1274" i="22"/>
  <c r="F324" i="21"/>
  <c r="G438" i="21"/>
  <c r="I286" i="21"/>
  <c r="F1160" i="21"/>
  <c r="F20" i="22"/>
  <c r="G704" i="22"/>
  <c r="J210" i="5"/>
  <c r="J210" i="15"/>
  <c r="H96" i="15"/>
  <c r="G172" i="5"/>
  <c r="F666" i="22"/>
  <c r="H438" i="22"/>
  <c r="I20" i="15"/>
  <c r="F1122" i="21"/>
  <c r="H1236" i="21"/>
  <c r="F1084" i="22"/>
  <c r="F210" i="15"/>
  <c r="J476" i="14"/>
  <c r="J1464" i="22"/>
  <c r="I1540" i="21"/>
  <c r="J1198" i="22"/>
  <c r="H1008" i="21"/>
  <c r="J1730" i="22"/>
  <c r="F1274" i="21"/>
  <c r="J134" i="5"/>
  <c r="G590" i="21"/>
  <c r="F780" i="22"/>
  <c r="I248" i="21"/>
  <c r="G628" i="21"/>
  <c r="G1616" i="22"/>
  <c r="I58" i="5"/>
  <c r="G742" i="21"/>
  <c r="H20" i="13"/>
  <c r="H1388" i="22"/>
  <c r="H210" i="15"/>
  <c r="J1578" i="21"/>
  <c r="H742" i="21"/>
  <c r="G324" i="21"/>
  <c r="H210" i="21"/>
  <c r="H590" i="14"/>
  <c r="H552" i="21"/>
  <c r="G58" i="14"/>
  <c r="J932" i="21"/>
  <c r="G20" i="5"/>
  <c r="H1578" i="21"/>
  <c r="J134" i="22"/>
  <c r="F552" i="14"/>
  <c r="I400" i="21"/>
  <c r="J818" i="22"/>
  <c r="F1236" i="21"/>
  <c r="I210" i="21"/>
  <c r="J438" i="21"/>
  <c r="G58" i="5"/>
  <c r="I58" i="21"/>
  <c r="I1236" i="21"/>
  <c r="H1540" i="21"/>
  <c r="G172" i="22"/>
  <c r="F628" i="21"/>
  <c r="H1426" i="21"/>
  <c r="F58" i="18"/>
  <c r="I134" i="5"/>
  <c r="J514" i="21"/>
  <c r="H1312" i="21"/>
  <c r="H172" i="21"/>
  <c r="J362" i="21"/>
  <c r="I324" i="15"/>
  <c r="J590" i="22"/>
  <c r="J20" i="15"/>
  <c r="I628" i="21"/>
  <c r="F628" i="22"/>
  <c r="H1768" i="22"/>
  <c r="H400" i="22"/>
  <c r="F248" i="21"/>
  <c r="F58" i="13"/>
  <c r="J20" i="14"/>
  <c r="J438" i="22"/>
  <c r="F1008" i="21"/>
  <c r="F134" i="22"/>
  <c r="G856" i="22"/>
  <c r="I1654" i="22"/>
  <c r="H286" i="15"/>
  <c r="H1046" i="22"/>
  <c r="H248" i="15"/>
  <c r="G1236" i="22"/>
  <c r="F248" i="22"/>
  <c r="J96" i="13"/>
  <c r="J1084" i="21"/>
  <c r="G58" i="13"/>
  <c r="I1312" i="21"/>
  <c r="G1350" i="22"/>
  <c r="J400" i="22"/>
  <c r="H58" i="21"/>
  <c r="H704" i="21"/>
  <c r="F400" i="22"/>
  <c r="I1198" i="22"/>
  <c r="H894" i="21"/>
  <c r="H552" i="14"/>
  <c r="I134" i="18"/>
  <c r="G172" i="18"/>
  <c r="F1464" i="22"/>
  <c r="F742" i="22"/>
  <c r="I1198" i="21"/>
  <c r="H628" i="21"/>
  <c r="I324" i="22"/>
  <c r="F96" i="22"/>
  <c r="J96" i="15"/>
  <c r="J780" i="21"/>
  <c r="F172" i="22"/>
  <c r="I856" i="22"/>
  <c r="H1692" i="22"/>
  <c r="F324" i="22"/>
  <c r="I742" i="21"/>
  <c r="I286" i="15"/>
  <c r="G1768" i="22"/>
  <c r="G552" i="14"/>
  <c r="F1198" i="21"/>
  <c r="I704" i="22"/>
  <c r="F324" i="15"/>
  <c r="I20" i="13"/>
  <c r="J362" i="22"/>
  <c r="F932" i="22"/>
  <c r="J96" i="21"/>
  <c r="F1806" i="22"/>
  <c r="I58" i="15"/>
  <c r="H590" i="22"/>
  <c r="H1084" i="22"/>
  <c r="G476" i="14"/>
  <c r="I1236" i="22"/>
  <c r="H1236" i="22"/>
  <c r="F286" i="21"/>
  <c r="J818" i="21"/>
  <c r="H1274" i="21"/>
  <c r="I96" i="22"/>
  <c r="I20" i="18"/>
  <c r="I666" i="21"/>
  <c r="F1198" i="22"/>
  <c r="I1502" i="21"/>
  <c r="I1464" i="22"/>
  <c r="G1198" i="22"/>
  <c r="J20" i="21"/>
  <c r="I1008" i="21"/>
  <c r="F286" i="15"/>
  <c r="H856" i="22"/>
  <c r="H1312" i="22"/>
  <c r="I1312" i="22"/>
  <c r="F134" i="21"/>
  <c r="I438" i="14"/>
  <c r="F20" i="14"/>
  <c r="G58" i="18"/>
  <c r="F1616" i="22"/>
  <c r="J1236" i="22"/>
  <c r="H96" i="13"/>
  <c r="J1312" i="21"/>
  <c r="G210" i="5"/>
  <c r="H1730" i="22"/>
  <c r="H856" i="21"/>
  <c r="J172" i="18"/>
  <c r="H20" i="22"/>
  <c r="H58" i="14"/>
  <c r="H1464" i="22"/>
  <c r="I514" i="21"/>
  <c r="J552" i="14"/>
  <c r="H324" i="22"/>
  <c r="F58" i="22"/>
  <c r="J1084" i="22"/>
  <c r="G96" i="18"/>
  <c r="I476" i="22"/>
  <c r="J58" i="15"/>
  <c r="G210" i="22"/>
  <c r="G856" i="21"/>
  <c r="H438" i="21"/>
  <c r="J1426" i="21"/>
  <c r="F172" i="21"/>
  <c r="G742" i="22"/>
  <c r="F666" i="21"/>
  <c r="I172" i="5"/>
  <c r="F514" i="22"/>
  <c r="J704" i="21"/>
  <c r="H20" i="21"/>
  <c r="J1160" i="21"/>
  <c r="F1388" i="21"/>
  <c r="F96" i="21"/>
  <c r="I438" i="21"/>
  <c r="H476" i="22"/>
  <c r="H400" i="21"/>
  <c r="J476" i="21"/>
  <c r="F1160" i="22"/>
  <c r="J932" i="22"/>
  <c r="G134" i="21"/>
  <c r="J1616" i="22"/>
  <c r="H362" i="22"/>
  <c r="F362" i="21"/>
  <c r="G324" i="22"/>
  <c r="G20" i="14"/>
  <c r="H894" i="22"/>
  <c r="H1464" i="21"/>
  <c r="F20" i="13"/>
  <c r="F20" i="15"/>
  <c r="J286" i="15"/>
  <c r="I1084" i="21"/>
  <c r="F438" i="21"/>
  <c r="I1578" i="21"/>
  <c r="I780" i="22"/>
  <c r="G20" i="15"/>
  <c r="H248" i="22"/>
  <c r="G362" i="22"/>
  <c r="H818" i="21"/>
  <c r="J514" i="22"/>
  <c r="I476" i="14"/>
  <c r="H58" i="18"/>
  <c r="F210" i="22"/>
  <c r="J590" i="21"/>
  <c r="I210" i="15"/>
  <c r="F1578" i="21"/>
  <c r="F894" i="22"/>
  <c r="H780" i="21"/>
  <c r="J210" i="22"/>
  <c r="F1312" i="22"/>
  <c r="J248" i="21"/>
  <c r="J400" i="21"/>
  <c r="J780" i="22"/>
  <c r="J1540" i="21"/>
  <c r="H1160" i="21"/>
  <c r="I1160" i="21"/>
  <c r="J666" i="22"/>
  <c r="J628" i="21"/>
  <c r="J1464" i="21"/>
  <c r="J590" i="14"/>
  <c r="G894" i="21"/>
  <c r="G780" i="21"/>
  <c r="H704" i="22"/>
  <c r="J58" i="22"/>
  <c r="G1274" i="22"/>
  <c r="H286" i="21"/>
  <c r="H134" i="5"/>
  <c r="J134" i="21"/>
  <c r="G58" i="15"/>
  <c r="H932" i="22"/>
  <c r="H96" i="22"/>
  <c r="H1502" i="21"/>
  <c r="F20" i="18"/>
  <c r="J20" i="18"/>
  <c r="H20" i="14"/>
  <c r="G96" i="13"/>
  <c r="F1730" i="22"/>
  <c r="H58" i="5"/>
  <c r="H590" i="21"/>
  <c r="G1502" i="21"/>
  <c r="G20" i="21"/>
  <c r="G1502" i="22"/>
  <c r="J172" i="21"/>
  <c r="H210" i="5"/>
  <c r="G96" i="15"/>
  <c r="F932" i="21"/>
  <c r="I134" i="22"/>
  <c r="J1692" i="22"/>
  <c r="F58" i="5"/>
  <c r="G552" i="22"/>
  <c r="G476" i="22"/>
  <c r="G172" i="21"/>
  <c r="F438" i="14"/>
  <c r="H324" i="15"/>
  <c r="G58" i="21"/>
  <c r="I1274" i="22"/>
  <c r="I1616" i="22"/>
  <c r="J1502" i="22"/>
  <c r="G20" i="13"/>
  <c r="G1008" i="21"/>
  <c r="J96" i="22"/>
  <c r="H248" i="21"/>
  <c r="G210" i="21"/>
  <c r="J1806" i="22"/>
  <c r="H58" i="15"/>
  <c r="G1540" i="21"/>
  <c r="J96" i="18"/>
  <c r="G628" i="22"/>
  <c r="I20" i="14"/>
  <c r="J20" i="5"/>
  <c r="G324" i="15"/>
  <c r="G1084" i="21"/>
  <c r="H1160" i="22"/>
  <c r="F818" i="22"/>
  <c r="I362" i="22"/>
  <c r="G1160" i="22"/>
  <c r="F476" i="21"/>
  <c r="F590" i="22"/>
  <c r="H96" i="21"/>
  <c r="G1654" i="22"/>
  <c r="G1198" i="21"/>
  <c r="I58" i="22"/>
  <c r="I1502" i="22"/>
  <c r="G96" i="5"/>
  <c r="J628" i="22"/>
  <c r="J96" i="5"/>
  <c r="F552" i="21"/>
  <c r="G1426" i="21"/>
  <c r="F286" i="22"/>
  <c r="H780" i="22"/>
  <c r="I1274" i="21"/>
  <c r="I590" i="14"/>
  <c r="F96" i="13"/>
  <c r="H1046" i="21"/>
  <c r="G1312" i="22"/>
  <c r="F894" i="21"/>
  <c r="G286" i="21"/>
  <c r="H172" i="5"/>
  <c r="J20" i="22"/>
  <c r="H20" i="15"/>
  <c r="J1160" i="22"/>
  <c r="F362" i="22"/>
  <c r="G248" i="21"/>
  <c r="G1236" i="21"/>
  <c r="J552" i="22"/>
  <c r="I780" i="21"/>
  <c r="F134" i="18"/>
  <c r="J20" i="13"/>
  <c r="G476" i="21"/>
  <c r="F818" i="21"/>
  <c r="I96" i="15"/>
  <c r="J856" i="22"/>
  <c r="I1350" i="22"/>
  <c r="H514" i="21"/>
  <c r="J1046" i="22"/>
  <c r="F856" i="22"/>
  <c r="J248" i="22"/>
  <c r="H666" i="21"/>
  <c r="H20" i="5"/>
  <c r="H1388" i="21"/>
  <c r="G704" i="21"/>
  <c r="G1578" i="21"/>
  <c r="H818" i="22"/>
  <c r="F58" i="14"/>
  <c r="G1464" i="21"/>
  <c r="G1274" i="21"/>
  <c r="H210" i="22"/>
  <c r="I552" i="21"/>
  <c r="F400" i="21"/>
  <c r="F704" i="22"/>
  <c r="J134" i="18"/>
  <c r="F58" i="15"/>
  <c r="I1046" i="22"/>
  <c r="F742" i="21"/>
  <c r="G134" i="22"/>
  <c r="G1122" i="21"/>
  <c r="G1692" i="22"/>
  <c r="I286" i="22"/>
  <c r="H286" i="22"/>
  <c r="I476" i="21"/>
  <c r="G286" i="22"/>
  <c r="H134" i="18"/>
  <c r="I210" i="22"/>
  <c r="F210" i="21"/>
  <c r="J58" i="21"/>
  <c r="I172" i="22"/>
  <c r="G400" i="22"/>
  <c r="I552" i="14"/>
  <c r="G590" i="14"/>
  <c r="I172" i="18"/>
  <c r="G932" i="22"/>
  <c r="J1768" i="22"/>
  <c r="I514" i="22"/>
  <c r="J248" i="15"/>
  <c r="F1312" i="21"/>
  <c r="I704" i="21"/>
  <c r="J666" i="21"/>
  <c r="F476" i="14"/>
  <c r="F590" i="21"/>
  <c r="G1806" i="22"/>
  <c r="H476" i="14"/>
  <c r="I894" i="22"/>
  <c r="J1008" i="21"/>
  <c r="I1388" i="22"/>
  <c r="I666" i="22"/>
  <c r="F1426" i="21"/>
  <c r="G1388" i="21"/>
  <c r="J552" i="21"/>
  <c r="I96" i="21"/>
  <c r="F172" i="18"/>
  <c r="J438" i="14"/>
  <c r="F20" i="21"/>
  <c r="J1388" i="22"/>
  <c r="H742" i="22"/>
  <c r="J1274" i="21"/>
  <c r="H552" i="22"/>
  <c r="J1236" i="21"/>
  <c r="J856" i="21"/>
  <c r="F248" i="15"/>
  <c r="J58" i="18"/>
  <c r="H1198" i="22"/>
  <c r="H514" i="22"/>
  <c r="J1350" i="22"/>
  <c r="F856" i="21"/>
  <c r="I1122" i="21"/>
  <c r="H1198" i="21"/>
  <c r="I628" i="22"/>
  <c r="I856" i="21"/>
  <c r="I58" i="18"/>
  <c r="I134" i="21"/>
  <c r="F1654" i="22"/>
  <c r="G210" i="15"/>
  <c r="G248" i="22"/>
  <c r="G590" i="22"/>
  <c r="H1084" i="21"/>
  <c r="J172" i="5"/>
  <c r="I20" i="21"/>
  <c r="H438" i="14"/>
  <c r="F514" i="21"/>
  <c r="I742" i="22"/>
  <c r="F1464" i="21"/>
  <c r="I96" i="5"/>
  <c r="J58" i="5"/>
  <c r="J704" i="22"/>
  <c r="J286" i="21"/>
  <c r="H58" i="22"/>
  <c r="I96" i="13"/>
  <c r="I818" i="22"/>
  <c r="G818" i="22"/>
  <c r="H1502" i="22"/>
  <c r="H324" i="21"/>
  <c r="G134" i="5"/>
  <c r="F780" i="21"/>
  <c r="G1730" i="22"/>
  <c r="G134" i="18"/>
  <c r="H1350" i="22"/>
  <c r="H1122" i="21"/>
  <c r="H1616" i="22"/>
  <c r="G1312" i="21"/>
  <c r="I1426" i="21"/>
  <c r="J1388" i="21"/>
  <c r="J324" i="15"/>
  <c r="I1388" i="21"/>
  <c r="I894" i="21"/>
  <c r="H476" i="21"/>
  <c r="F1502" i="21"/>
  <c r="H134" i="21"/>
  <c r="J1198" i="21"/>
  <c r="J894" i="22"/>
  <c r="G20" i="18"/>
  <c r="I96" i="18"/>
  <c r="G552" i="21"/>
  <c r="I438" i="22"/>
  <c r="H96" i="5"/>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<sst xmlns="http://schemas.openxmlformats.org/spreadsheetml/2006/main" count="3122" uniqueCount="512">
  <si>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</si>
  <si>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</si>
  <si>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</si>
  <si>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</si>
  <si>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</si>
  <si>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</si>
  <si>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</si>
  <si>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</si>
  <si>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</si>
  <si>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</si>
  <si>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</si>
  <si>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</si>
  <si>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</si>
  <si>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</si>
  <si>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</si>
  <si>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</si>
  <si>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</si>
  <si>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</si>
  <si>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</si>
  <si>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</si>
  <si>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</si>
  <si>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</si>
  <si>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</si>
  <si>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</si>
  <si>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</si>
  <si>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</si>
  <si>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</si>
  <si>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</si>
  <si>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</si>
  <si>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</si>
  <si>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</si>
  <si>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</si>
  <si>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</si>
  <si>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</si>
  <si>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</si>
  <si>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</si>
  <si>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</si>
  <si>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</si>
  <si>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</si>
  <si>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</si>
  <si>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</si>
  <si>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</si>
  <si>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</si>
  <si>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</si>
  <si>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</si>
  <si>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</si>
  <si>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</si>
  <si>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</si>
  <si>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</si>
  <si>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</si>
  <si>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</si>
  <si>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</si>
  <si>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</si>
  <si>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</si>
  <si>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</si>
  <si>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</si>
  <si>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</si>
  <si>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</si>
  <si>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</si>
  <si>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</si>
  <si>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</si>
  <si>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</si>
  <si>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</si>
  <si>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</si>
  <si>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</si>
  <si>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</si>
  <si>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</si>
  <si>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</si>
  <si>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</si>
  <si>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</si>
  <si>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</si>
  <si>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</si>
  <si>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</si>
  <si>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</si>
  <si>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</si>
  <si>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</si>
  <si>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</si>
  <si>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</si>
  <si>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</si>
  <si>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</si>
  <si>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</si>
  <si>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</si>
  <si>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</si>
  <si>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</si>
  <si>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</si>
  <si>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</si>
  <si>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</si>
  <si>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</si>
  <si>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</si>
  <si>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</si>
  <si>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</si>
  <si>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</si>
  <si>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</si>
  <si>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</si>
  <si>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</si>
  <si>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</si>
  <si>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</si>
  <si>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</si>
  <si>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</si>
  <si>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</si>
  <si>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</si>
  <si>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</si>
  <si>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</si>
  <si>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</si>
  <si>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</si>
  <si>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</si>
  <si>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</si>
  <si>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</si>
  <si>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</si>
  <si>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</si>
  <si>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</si>
  <si>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</si>
  <si>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</si>
  <si>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</si>
  <si>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</si>
  <si>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</si>
  <si>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</si>
  <si>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</si>
  <si>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</si>
  <si>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</si>
  <si>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</si>
  <si>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</si>
  <si>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</si>
  <si>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</si>
  <si>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</si>
  <si>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</si>
  <si>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</si>
  <si>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</si>
  <si>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</si>
  <si>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</si>
  <si>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</si>
  <si>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</si>
  <si>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</si>
  <si>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</si>
  <si>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</si>
  <si>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</si>
  <si>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</si>
  <si>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</si>
  <si>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</si>
  <si>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</si>
  <si>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</si>
  <si>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</si>
  <si>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</si>
  <si>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</si>
  <si>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</si>
  <si>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</si>
  <si>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</si>
  <si>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</si>
  <si>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</si>
  <si>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</si>
  <si>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</si>
  <si>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</si>
  <si>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</si>
  <si>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</si>
  <si>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</si>
  <si>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</si>
  <si>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</si>
  <si>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</si>
  <si>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</si>
  <si>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</si>
  <si>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</si>
  <si>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</si>
  <si>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</si>
  <si>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</si>
  <si>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</si>
  <si>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</si>
  <si>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</si>
  <si>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</si>
  <si>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</si>
  <si>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</si>
  <si>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</si>
  <si>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</si>
  <si>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</si>
  <si>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</si>
  <si>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</si>
  <si>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</si>
  <si>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</si>
  <si>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</si>
  <si>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</si>
  <si>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</si>
  <si>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</si>
  <si>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</si>
  <si>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</si>
  <si>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</si>
  <si>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</si>
  <si>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</si>
  <si>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</si>
  <si>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</si>
  <si>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</si>
  <si>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</si>
  <si>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</si>
  <si>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</si>
  <si>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</si>
  <si>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</si>
  <si>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</si>
  <si>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</si>
  <si>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</si>
  <si>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</si>
  <si>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</si>
  <si>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</si>
  <si>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</si>
  <si>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</si>
  <si>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</si>
  <si>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</si>
  <si>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</si>
  <si>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</si>
  <si>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</si>
  <si>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</si>
  <si>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</si>
  <si>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</si>
  <si>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</si>
  <si>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</si>
  <si>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</si>
  <si>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</si>
  <si>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</si>
  <si>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</si>
  <si>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</si>
  <si>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</si>
  <si>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</si>
  <si>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</si>
  <si>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</si>
  <si>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</si>
  <si>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</si>
  <si>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</si>
  <si>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</si>
  <si>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</si>
  <si>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</si>
  <si>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</si>
  <si>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</si>
  <si>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</si>
  <si>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</si>
  <si>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</si>
  <si>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</si>
  <si>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</si>
  <si>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</si>
  <si>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</si>
  <si>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</si>
  <si>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</si>
  <si>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</si>
  <si>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</si>
  <si>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</si>
  <si>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</si>
  <si>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</si>
  <si>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</si>
  <si>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</si>
  <si>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</si>
  <si>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</si>
  <si>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</si>
  <si>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</si>
  <si>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</si>
  <si>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</si>
  <si>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</si>
  <si>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</si>
  <si>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</si>
  <si>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</si>
  <si>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</si>
  <si>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</si>
  <si>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</si>
  <si>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</si>
  <si>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</si>
  <si>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</si>
  <si>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</si>
  <si>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</si>
  <si>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</si>
  <si>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</si>
  <si>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</si>
  <si>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</si>
  <si>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</si>
  <si>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</si>
  <si>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</si>
  <si>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</si>
  <si>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</si>
  <si>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</si>
  <si>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</si>
  <si>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</si>
  <si>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</si>
  <si>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</si>
  <si>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</si>
  <si>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</si>
  <si>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</si>
  <si>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</si>
  <si>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</si>
  <si>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</si>
  <si>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</si>
  <si>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</si>
  <si>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</si>
  <si>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</si>
  <si>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</si>
  <si>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</si>
  <si>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</si>
  <si>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</si>
  <si>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</si>
  <si>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</si>
  <si>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</si>
  <si>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</si>
  <si>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</si>
  <si>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</si>
  <si>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</si>
  <si>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</si>
  <si>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</si>
  <si>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</si>
  <si>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</si>
  <si>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</si>
  <si>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</si>
  <si>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</si>
  <si>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</si>
  <si>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</si>
  <si>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</si>
  <si>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</si>
  <si>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</si>
  <si>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</si>
  <si>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</si>
  <si>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</si>
  <si>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</si>
  <si>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</si>
  <si>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</si>
  <si>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</si>
  <si>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</si>
  <si>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</si>
  <si>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</si>
  <si>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</si>
  <si>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</si>
  <si>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</si>
  <si>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</si>
  <si>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</si>
  <si>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</si>
  <si>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</si>
  <si>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</si>
  <si>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</si>
  <si>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</si>
  <si>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</si>
  <si>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</si>
  <si>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</si>
  <si>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</si>
  <si>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</si>
  <si>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</si>
  <si>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</si>
  <si>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</si>
  <si>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</si>
  <si>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</si>
  <si>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</si>
  <si>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</si>
  <si>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</si>
  <si>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</si>
  <si>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</si>
  <si>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</si>
  <si>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</si>
  <si>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</si>
  <si>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</si>
  <si>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</si>
  <si>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</si>
  <si>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</si>
  <si>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</si>
  <si>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</si>
  <si>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</si>
  <si>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</si>
  <si>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</si>
  <si>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</si>
  <si>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</si>
  <si>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</si>
  <si>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</si>
  <si>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</si>
  <si>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</si>
  <si>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</si>
  <si>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</si>
  <si>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</si>
  <si>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</si>
  <si>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</si>
  <si>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</si>
  <si>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</si>
  <si>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</si>
  <si>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</si>
  <si>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</si>
  <si>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</si>
  <si>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</si>
  <si>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</si>
  <si>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</si>
  <si>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</si>
  <si>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</si>
  <si>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</si>
  <si>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</si>
  <si>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</si>
  <si>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</si>
  <si>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</si>
  <si>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</si>
  <si>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</si>
  <si>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</si>
  <si>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</si>
  <si>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</si>
  <si>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</si>
  <si>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</si>
  <si>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</si>
  <si>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</si>
  <si>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</si>
  <si>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</si>
  <si>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</si>
  <si>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</si>
  <si>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</si>
  <si>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</si>
  <si>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</si>
  <si>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</si>
  <si>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</si>
  <si>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</si>
  <si>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</si>
  <si>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</si>
  <si>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</si>
  <si>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</si>
  <si>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</si>
  <si>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</si>
  <si>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</si>
  <si>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</si>
  <si>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</si>
  <si>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</si>
  <si>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</si>
  <si>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</si>
  <si>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</si>
  <si>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</si>
  <si>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</si>
  <si>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</si>
  <si>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</si>
  <si>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</si>
  <si>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</si>
  <si>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</si>
  <si>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</si>
  <si>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</si>
  <si>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</si>
  <si>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</si>
  <si>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</si>
  <si>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</si>
  <si>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</si>
  <si>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</si>
  <si>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</si>
  <si>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</si>
  <si>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</si>
  <si>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</si>
  <si>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</si>
  <si>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</si>
  <si>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</si>
  <si>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</si>
  <si>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</si>
  <si>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</si>
  <si>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</si>
  <si>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</si>
  <si>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</si>
  <si>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</si>
  <si>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</si>
  <si>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</si>
  <si>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</si>
  <si>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</si>
  <si>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</si>
  <si>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</si>
  <si>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</si>
  <si>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</si>
  <si>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</si>
  <si>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</si>
  <si>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</si>
  <si>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</si>
  <si>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</si>
  <si>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</si>
  <si>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</si>
  <si>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</si>
  <si>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</si>
  <si>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</si>
  <si>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</si>
  <si>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</si>
  <si>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</si>
  <si>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</si>
  <si>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</si>
  <si>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</si>
  <si>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</si>
  <si>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</si>
  <si>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</si>
  <si>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</si>
  <si>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</si>
  <si>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</si>
  <si>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</si>
  <si>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</si>
  <si>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</si>
  <si>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</si>
  <si>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</si>
  <si>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</si>
  <si>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</si>
  <si>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https://www.comunidad.madrid/</t>
  </si>
  <si>
    <t>https://www.comunidad.madrid/servicios</t>
  </si>
  <si>
    <t>https://www.comunidad.madrid/cultura</t>
  </si>
  <si>
    <t>https://www.comunidad.madrid/inversion</t>
  </si>
  <si>
    <t>https://www.comunidad.madrid/gobierno</t>
  </si>
  <si>
    <t>https://www.comunidad.madrid/noticias/2023/12/18/diaz-ayuso-reconoce-35-personas-han-realizado-actuaciones-extraordinarias-ayuda-servicio-metro-este-ano-representan-valores-madrid</t>
  </si>
  <si>
    <t>https://www.comunidad.madrid/servicios/atencion-ciudadano</t>
  </si>
  <si>
    <t>https://www.comunidad.madrid/servicios/informacion-atencion-ciudadano/aviso-legal-privacidad</t>
  </si>
  <si>
    <t>https://www.comunidad.madrid/sitemap</t>
  </si>
  <si>
    <t>https://www.comunidad.madrid/servicios/informacion-atencion-ciudadano/accesibilidad-web</t>
  </si>
  <si>
    <t>Página Web</t>
  </si>
  <si>
    <t xml:space="preserve">Se analizarán las páginas con dominio 	
https://www.comunidad.madrid/	</t>
  </si>
  <si>
    <t>Cominudad de Madrid</t>
  </si>
  <si>
    <t>Comunidad de Madrid</t>
  </si>
  <si>
    <t xml:space="preserve">https://www.comunidad.madrid/	</t>
  </si>
  <si>
    <t>Inicio</t>
  </si>
  <si>
    <t>Servicios e información</t>
  </si>
  <si>
    <t>Cultura y turismo</t>
  </si>
  <si>
    <t>Inversión y empresa</t>
  </si>
  <si>
    <t>Acción de gobierno</t>
  </si>
  <si>
    <t>Video</t>
  </si>
  <si>
    <t>Aviso Legal</t>
  </si>
  <si>
    <t>Accesibilidad</t>
  </si>
  <si>
    <t>SUBDIRECCIÓN GENERAL DE ADMINISTRACIÓN ELECTRÓNICA</t>
  </si>
  <si>
    <t>A13043893</t>
  </si>
  <si>
    <t>COMUNIDAD DE MADRID</t>
  </si>
  <si>
    <t>A13002908</t>
  </si>
  <si>
    <t>MADRID DIGITAL</t>
  </si>
  <si>
    <t>A13033692</t>
  </si>
  <si>
    <t>MD_CANALES_DIGITALES@madrid.org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</si>
</sst>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7">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4"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12" fillId="2" borderId="0" xfId="0" applyFont="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630616</xdr:colOff>
      <xdr:row>20</xdr:row>
      <xdr:rowOff>135737</xdr:rowOff>
    </xdr:from>
    <xdr:to>
      <xdr:col>8</xdr:col>
      <xdr:colOff>362056</xdr:colOff>
      <xdr:row>25</xdr:row>
      <xdr:rowOff>57091</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20720</xdr:rowOff>
    </xdr:from>
    <xdr:to>
      <xdr:col>11</xdr:col>
      <xdr:colOff>55813</xdr:colOff>
      <xdr:row>203</xdr:row>
      <xdr:rowOff>18416</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16948</xdr:colOff>
      <xdr:row>139</xdr:row>
      <xdr:rowOff>21933</xdr:rowOff>
    </xdr:from>
    <xdr:to>
      <xdr:col>11</xdr:col>
      <xdr:colOff>19864</xdr:colOff>
      <xdr:row>147</xdr:row>
      <xdr:rowOff>133350</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22058</xdr:colOff>
      <xdr:row>101</xdr:row>
      <xdr:rowOff>17955</xdr:rowOff>
    </xdr:from>
    <xdr:to>
      <xdr:col>11</xdr:col>
      <xdr:colOff>21164</xdr:colOff>
      <xdr:row>114</xdr:row>
      <xdr:rowOff>133349</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55534</xdr:colOff>
      <xdr:row>62</xdr:row>
      <xdr:rowOff>135604</xdr:rowOff>
    </xdr:from>
    <xdr:to>
      <xdr:col>11</xdr:col>
      <xdr:colOff>97088</xdr:colOff>
      <xdr:row>91</xdr:row>
      <xdr:rowOff>20109</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16947</xdr:colOff>
      <xdr:row>25</xdr:row>
      <xdr:rowOff>136460</xdr:rowOff>
    </xdr:from>
    <xdr:to>
      <xdr:col>11</xdr:col>
      <xdr:colOff>19863</xdr:colOff>
      <xdr:row>47</xdr:row>
      <xdr:rowOff>59689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588559</xdr:colOff>
      <xdr:row>58</xdr:row>
      <xdr:rowOff>20994</xdr:rowOff>
    </xdr:from>
    <xdr:to>
      <xdr:col>8</xdr:col>
      <xdr:colOff>359050</xdr:colOff>
      <xdr:row>62</xdr:row>
      <xdr:rowOff>94749</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589848</xdr:colOff>
      <xdr:row>96</xdr:row>
      <xdr:rowOff>1404</xdr:rowOff>
    </xdr:from>
    <xdr:to>
      <xdr:col>8</xdr:col>
      <xdr:colOff>327003</xdr:colOff>
      <xdr:row>100</xdr:row>
      <xdr:rowOff>92663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593908</xdr:colOff>
      <xdr:row>134</xdr:row>
      <xdr:rowOff>58139</xdr:rowOff>
    </xdr:from>
    <xdr:to>
      <xdr:col>8</xdr:col>
      <xdr:colOff>363448</xdr:colOff>
      <xdr:row>138</xdr:row>
      <xdr:rowOff>135945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396476</xdr:colOff>
      <xdr:row>176</xdr:row>
      <xdr:rowOff>92300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59748</xdr:rowOff>
    </xdr:from>
    <xdr:to>
      <xdr:col>8</xdr:col>
      <xdr:colOff>98169</xdr:colOff>
      <xdr:row>26</xdr:row>
      <xdr:rowOff>133080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131339</xdr:colOff>
      <xdr:row>100</xdr:row>
      <xdr:rowOff>92464</xdr:rowOff>
    </xdr:from>
    <xdr:to>
      <xdr:col>10</xdr:col>
      <xdr:colOff>669350</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212826</xdr:colOff>
      <xdr:row>63</xdr:row>
      <xdr:rowOff>54746</xdr:rowOff>
    </xdr:from>
    <xdr:to>
      <xdr:col>10</xdr:col>
      <xdr:colOff>964603</xdr:colOff>
      <xdr:row>86</xdr:row>
      <xdr:rowOff>60536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140273</xdr:rowOff>
    </xdr:from>
    <xdr:to>
      <xdr:col>10</xdr:col>
      <xdr:colOff>778938</xdr:colOff>
      <xdr:row>43</xdr:row>
      <xdr:rowOff>131445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322979</xdr:colOff>
      <xdr:row>58</xdr:row>
      <xdr:rowOff>39621</xdr:rowOff>
    </xdr:from>
    <xdr:to>
      <xdr:col>8</xdr:col>
      <xdr:colOff>116329</xdr:colOff>
      <xdr:row>62</xdr:row>
      <xdr:rowOff>126287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94780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555686</xdr:colOff>
      <xdr:row>20</xdr:row>
      <xdr:rowOff>79223</xdr:rowOff>
    </xdr:from>
    <xdr:to>
      <xdr:col>8</xdr:col>
      <xdr:colOff>285221</xdr:colOff>
      <xdr:row>25</xdr:row>
      <xdr:rowOff>19627</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21877</xdr:colOff>
      <xdr:row>291</xdr:row>
      <xdr:rowOff>18041</xdr:rowOff>
    </xdr:from>
    <xdr:to>
      <xdr:col>14</xdr:col>
      <xdr:colOff>841168</xdr:colOff>
      <xdr:row>321</xdr:row>
      <xdr:rowOff>99059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359487</xdr:colOff>
      <xdr:row>252</xdr:row>
      <xdr:rowOff>134369</xdr:rowOff>
    </xdr:from>
    <xdr:to>
      <xdr:col>11</xdr:col>
      <xdr:colOff>145</xdr:colOff>
      <xdr:row>277</xdr:row>
      <xdr:rowOff>18414</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363509</xdr:colOff>
      <xdr:row>215</xdr:row>
      <xdr:rowOff>20742</xdr:rowOff>
    </xdr:from>
    <xdr:to>
      <xdr:col>11</xdr:col>
      <xdr:colOff>20253</xdr:colOff>
      <xdr:row>232</xdr:row>
      <xdr:rowOff>17357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362662</xdr:colOff>
      <xdr:row>175</xdr:row>
      <xdr:rowOff>115969</xdr:rowOff>
    </xdr:from>
    <xdr:to>
      <xdr:col>10</xdr:col>
      <xdr:colOff>968096</xdr:colOff>
      <xdr:row>195</xdr:row>
      <xdr:rowOff>131859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362175</xdr:colOff>
      <xdr:row>139</xdr:row>
      <xdr:rowOff>133480</xdr:rowOff>
    </xdr:from>
    <xdr:to>
      <xdr:col>12</xdr:col>
      <xdr:colOff>114300</xdr:colOff>
      <xdr:row>160</xdr:row>
      <xdr:rowOff>94524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16131</xdr:colOff>
      <xdr:row>100</xdr:row>
      <xdr:rowOff>131197</xdr:rowOff>
    </xdr:from>
    <xdr:to>
      <xdr:col>17</xdr:col>
      <xdr:colOff>247227</xdr:colOff>
      <xdr:row>130</xdr:row>
      <xdr:rowOff>91440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360545</xdr:colOff>
      <xdr:row>62</xdr:row>
      <xdr:rowOff>76126</xdr:rowOff>
    </xdr:from>
    <xdr:to>
      <xdr:col>11</xdr:col>
      <xdr:colOff>739140</xdr:colOff>
      <xdr:row>89</xdr:row>
      <xdr:rowOff>132249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363234</xdr:colOff>
      <xdr:row>26</xdr:row>
      <xdr:rowOff>38883</xdr:rowOff>
    </xdr:from>
    <xdr:to>
      <xdr:col>10</xdr:col>
      <xdr:colOff>969401</xdr:colOff>
      <xdr:row>49</xdr:row>
      <xdr:rowOff>130810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518073</xdr:colOff>
      <xdr:row>57</xdr:row>
      <xdr:rowOff>135717</xdr:rowOff>
    </xdr:from>
    <xdr:to>
      <xdr:col>8</xdr:col>
      <xdr:colOff>324759</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550266</xdr:colOff>
      <xdr:row>95</xdr:row>
      <xdr:rowOff>133060</xdr:rowOff>
    </xdr:from>
    <xdr:to>
      <xdr:col>8</xdr:col>
      <xdr:colOff>287421</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17286</xdr:rowOff>
    </xdr:from>
    <xdr:to>
      <xdr:col>8</xdr:col>
      <xdr:colOff>325136</xdr:colOff>
      <xdr:row>139</xdr:row>
      <xdr:rowOff>129805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554019</xdr:colOff>
      <xdr:row>171</xdr:row>
      <xdr:rowOff>94533</xdr:rowOff>
    </xdr:from>
    <xdr:to>
      <xdr:col>8</xdr:col>
      <xdr:colOff>326415</xdr:colOff>
      <xdr:row>176</xdr:row>
      <xdr:rowOff>17794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554327</xdr:colOff>
      <xdr:row>210</xdr:row>
      <xdr:rowOff>40541</xdr:rowOff>
    </xdr:from>
    <xdr:to>
      <xdr:col>8</xdr:col>
      <xdr:colOff>326723</xdr:colOff>
      <xdr:row>214</xdr:row>
      <xdr:rowOff>133705</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587119</xdr:colOff>
      <xdr:row>248</xdr:row>
      <xdr:rowOff>60555</xdr:rowOff>
    </xdr:from>
    <xdr:to>
      <xdr:col>8</xdr:col>
      <xdr:colOff>307129</xdr:colOff>
      <xdr:row>253</xdr:row>
      <xdr:rowOff>15383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359759</xdr:colOff>
      <xdr:row>290</xdr:row>
      <xdr:rowOff>129764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359435</xdr:colOff>
      <xdr:row>328</xdr:row>
      <xdr:rowOff>55394</xdr:rowOff>
    </xdr:from>
    <xdr:to>
      <xdr:col>14</xdr:col>
      <xdr:colOff>779632</xdr:colOff>
      <xdr:row>359</xdr:row>
      <xdr:rowOff>210610</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17980</xdr:colOff>
      <xdr:row>366</xdr:row>
      <xdr:rowOff>18039</xdr:rowOff>
    </xdr:from>
    <xdr:to>
      <xdr:col>14</xdr:col>
      <xdr:colOff>784068</xdr:colOff>
      <xdr:row>397</xdr:row>
      <xdr:rowOff>59390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549186</xdr:colOff>
      <xdr:row>361</xdr:row>
      <xdr:rowOff>135616</xdr:rowOff>
    </xdr:from>
    <xdr:to>
      <xdr:col>8</xdr:col>
      <xdr:colOff>323464</xdr:colOff>
      <xdr:row>366</xdr:row>
      <xdr:rowOff>17357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784068</xdr:colOff>
      <xdr:row>435</xdr:row>
      <xdr:rowOff>20570</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555959</xdr:colOff>
      <xdr:row>400</xdr:row>
      <xdr:rowOff>38100</xdr:rowOff>
    </xdr:from>
    <xdr:to>
      <xdr:col>8</xdr:col>
      <xdr:colOff>326450</xdr:colOff>
      <xdr:row>404</xdr:row>
      <xdr:rowOff>134716</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18694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555959</xdr:colOff>
      <xdr:row>438</xdr:row>
      <xdr:rowOff>38100</xdr:rowOff>
    </xdr:from>
    <xdr:to>
      <xdr:col>8</xdr:col>
      <xdr:colOff>326450</xdr:colOff>
      <xdr:row>442</xdr:row>
      <xdr:rowOff>134716</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18694</xdr:colOff>
      <xdr:row>494</xdr:row>
      <xdr:rowOff>57871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555959</xdr:colOff>
      <xdr:row>476</xdr:row>
      <xdr:rowOff>38100</xdr:rowOff>
    </xdr:from>
    <xdr:to>
      <xdr:col>8</xdr:col>
      <xdr:colOff>326450</xdr:colOff>
      <xdr:row>480</xdr:row>
      <xdr:rowOff>134716</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18694</xdr:colOff>
      <xdr:row>545</xdr:row>
      <xdr:rowOff>20420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555959</xdr:colOff>
      <xdr:row>514</xdr:row>
      <xdr:rowOff>38100</xdr:rowOff>
    </xdr:from>
    <xdr:to>
      <xdr:col>8</xdr:col>
      <xdr:colOff>326450</xdr:colOff>
      <xdr:row>518</xdr:row>
      <xdr:rowOff>134716</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18694</xdr:colOff>
      <xdr:row>576</xdr:row>
      <xdr:rowOff>53763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552</xdr:row>
      <xdr:rowOff>38100</xdr:rowOff>
    </xdr:from>
    <xdr:to>
      <xdr:col>8</xdr:col>
      <xdr:colOff>326450</xdr:colOff>
      <xdr:row>556</xdr:row>
      <xdr:rowOff>134716</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18694</xdr:colOff>
      <xdr:row>616</xdr:row>
      <xdr:rowOff>19831</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555959</xdr:colOff>
      <xdr:row>590</xdr:row>
      <xdr:rowOff>38100</xdr:rowOff>
    </xdr:from>
    <xdr:to>
      <xdr:col>8</xdr:col>
      <xdr:colOff>326450</xdr:colOff>
      <xdr:row>594</xdr:row>
      <xdr:rowOff>134716</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18694</xdr:colOff>
      <xdr:row>650</xdr:row>
      <xdr:rowOff>97415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555959</xdr:colOff>
      <xdr:row>628</xdr:row>
      <xdr:rowOff>38100</xdr:rowOff>
    </xdr:from>
    <xdr:to>
      <xdr:col>8</xdr:col>
      <xdr:colOff>326450</xdr:colOff>
      <xdr:row>632</xdr:row>
      <xdr:rowOff>134716</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18694</xdr:colOff>
      <xdr:row>691</xdr:row>
      <xdr:rowOff>60408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555959</xdr:colOff>
      <xdr:row>666</xdr:row>
      <xdr:rowOff>38100</xdr:rowOff>
    </xdr:from>
    <xdr:to>
      <xdr:col>8</xdr:col>
      <xdr:colOff>326450</xdr:colOff>
      <xdr:row>670</xdr:row>
      <xdr:rowOff>134716</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55828</xdr:rowOff>
    </xdr:from>
    <xdr:to>
      <xdr:col>11</xdr:col>
      <xdr:colOff>18694</xdr:colOff>
      <xdr:row>729</xdr:row>
      <xdr:rowOff>93274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513626</xdr:colOff>
      <xdr:row>704</xdr:row>
      <xdr:rowOff>55058</xdr:rowOff>
    </xdr:from>
    <xdr:to>
      <xdr:col>8</xdr:col>
      <xdr:colOff>287927</xdr:colOff>
      <xdr:row>708</xdr:row>
      <xdr:rowOff>134530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554143</xdr:colOff>
      <xdr:row>324</xdr:row>
      <xdr:rowOff>20108</xdr:rowOff>
    </xdr:from>
    <xdr:to>
      <xdr:col>8</xdr:col>
      <xdr:colOff>322729</xdr:colOff>
      <xdr:row>328</xdr:row>
      <xdr:rowOff>97674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592093</xdr:colOff>
      <xdr:row>20</xdr:row>
      <xdr:rowOff>110972</xdr:rowOff>
    </xdr:from>
    <xdr:to>
      <xdr:col>8</xdr:col>
      <xdr:colOff>321628</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57961</xdr:rowOff>
    </xdr:from>
    <xdr:to>
      <xdr:col>11</xdr:col>
      <xdr:colOff>22010</xdr:colOff>
      <xdr:row>120</xdr:row>
      <xdr:rowOff>91440</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132005</xdr:rowOff>
    </xdr:from>
    <xdr:to>
      <xdr:col>11</xdr:col>
      <xdr:colOff>15385</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821494</xdr:colOff>
      <xdr:row>52</xdr:row>
      <xdr:rowOff>130928</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478915</xdr:colOff>
      <xdr:row>58</xdr:row>
      <xdr:rowOff>16761</xdr:rowOff>
    </xdr:from>
    <xdr:to>
      <xdr:col>8</xdr:col>
      <xdr:colOff>251311</xdr:colOff>
      <xdr:row>62</xdr:row>
      <xdr:rowOff>97713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552383</xdr:colOff>
      <xdr:row>95</xdr:row>
      <xdr:rowOff>130943</xdr:rowOff>
    </xdr:from>
    <xdr:to>
      <xdr:col>8</xdr:col>
      <xdr:colOff>289538</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16722</xdr:colOff>
      <xdr:row>328</xdr:row>
      <xdr:rowOff>136978</xdr:rowOff>
    </xdr:from>
    <xdr:to>
      <xdr:col>11</xdr:col>
      <xdr:colOff>820170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15943</xdr:colOff>
      <xdr:row>304</xdr:row>
      <xdr:rowOff>54986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95293</xdr:rowOff>
    </xdr:from>
    <xdr:to>
      <xdr:col>11</xdr:col>
      <xdr:colOff>19540</xdr:colOff>
      <xdr:row>265</xdr:row>
      <xdr:rowOff>92593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550227</xdr:colOff>
      <xdr:row>209</xdr:row>
      <xdr:rowOff>129540</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511396</xdr:colOff>
      <xdr:row>248</xdr:row>
      <xdr:rowOff>54809</xdr:rowOff>
    </xdr:from>
    <xdr:to>
      <xdr:col>8</xdr:col>
      <xdr:colOff>304747</xdr:colOff>
      <xdr:row>252</xdr:row>
      <xdr:rowOff>130045</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551286</xdr:colOff>
      <xdr:row>286</xdr:row>
      <xdr:rowOff>79768</xdr:rowOff>
    </xdr:from>
    <xdr:to>
      <xdr:col>8</xdr:col>
      <xdr:colOff>363687</xdr:colOff>
      <xdr:row>291</xdr:row>
      <xdr:rowOff>16721</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556139</xdr:colOff>
      <xdr:row>323</xdr:row>
      <xdr:rowOff>110577</xdr:rowOff>
    </xdr:from>
    <xdr:to>
      <xdr:col>8</xdr:col>
      <xdr:colOff>285674</xdr:colOff>
      <xdr:row>328</xdr:row>
      <xdr:rowOff>57361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586740</xdr:colOff>
      <xdr:row>133</xdr:row>
      <xdr:rowOff>93345</xdr:rowOff>
    </xdr:from>
    <xdr:to>
      <xdr:col>8</xdr:col>
      <xdr:colOff>323895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591397</xdr:colOff>
      <xdr:row>172</xdr:row>
      <xdr:rowOff>18204</xdr:rowOff>
    </xdr:from>
    <xdr:to>
      <xdr:col>8</xdr:col>
      <xdr:colOff>320932</xdr:colOff>
      <xdr:row>176</xdr:row>
      <xdr:rowOff>93800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362797</xdr:colOff>
      <xdr:row>138</xdr:row>
      <xdr:rowOff>113242</xdr:rowOff>
    </xdr:from>
    <xdr:to>
      <xdr:col>10</xdr:col>
      <xdr:colOff>954358</xdr:colOff>
      <xdr:row>160</xdr:row>
      <xdr:rowOff>16299</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15240</xdr:colOff>
      <xdr:row>176</xdr:row>
      <xdr:rowOff>136524</xdr:rowOff>
    </xdr:from>
    <xdr:to>
      <xdr:col>11</xdr:col>
      <xdr:colOff>20061</xdr:colOff>
      <xdr:row>204</xdr:row>
      <xdr:rowOff>22224</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587436</xdr:colOff>
      <xdr:row>19</xdr:row>
      <xdr:rowOff>92345</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15325</xdr:rowOff>
    </xdr:from>
    <xdr:to>
      <xdr:col>11</xdr:col>
      <xdr:colOff>587798</xdr:colOff>
      <xdr:row>701</xdr:row>
      <xdr:rowOff>212727</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19474</xdr:colOff>
      <xdr:row>708</xdr:row>
      <xdr:rowOff>57267</xdr:rowOff>
    </xdr:from>
    <xdr:to>
      <xdr:col>12</xdr:col>
      <xdr:colOff>510964</xdr:colOff>
      <xdr:row>739</xdr:row>
      <xdr:rowOff>248073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20927</xdr:colOff>
      <xdr:row>632</xdr:row>
      <xdr:rowOff>97253</xdr:rowOff>
    </xdr:from>
    <xdr:to>
      <xdr:col>11</xdr:col>
      <xdr:colOff>22476</xdr:colOff>
      <xdr:row>663</xdr:row>
      <xdr:rowOff>96097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17752</xdr:colOff>
      <xdr:row>595</xdr:row>
      <xdr:rowOff>41645</xdr:rowOff>
    </xdr:from>
    <xdr:to>
      <xdr:col>11</xdr:col>
      <xdr:colOff>53591</xdr:colOff>
      <xdr:row>623</xdr:row>
      <xdr:rowOff>60536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17752</xdr:colOff>
      <xdr:row>556</xdr:row>
      <xdr:rowOff>91669</xdr:rowOff>
    </xdr:from>
    <xdr:to>
      <xdr:col>11</xdr:col>
      <xdr:colOff>53591</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17752</xdr:colOff>
      <xdr:row>518</xdr:row>
      <xdr:rowOff>18941</xdr:rowOff>
    </xdr:from>
    <xdr:to>
      <xdr:col>11</xdr:col>
      <xdr:colOff>53591</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973571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92180</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20202</xdr:colOff>
      <xdr:row>405</xdr:row>
      <xdr:rowOff>20206</xdr:rowOff>
    </xdr:from>
    <xdr:to>
      <xdr:col>11</xdr:col>
      <xdr:colOff>16036</xdr:colOff>
      <xdr:row>427</xdr:row>
      <xdr:rowOff>55880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134061</xdr:rowOff>
    </xdr:from>
    <xdr:to>
      <xdr:col>11</xdr:col>
      <xdr:colOff>19936</xdr:colOff>
      <xdr:row>392</xdr:row>
      <xdr:rowOff>16299</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362646</xdr:colOff>
      <xdr:row>329</xdr:row>
      <xdr:rowOff>1530</xdr:rowOff>
    </xdr:from>
    <xdr:to>
      <xdr:col>10</xdr:col>
      <xdr:colOff>969351</xdr:colOff>
      <xdr:row>345</xdr:row>
      <xdr:rowOff>55880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55579</xdr:colOff>
      <xdr:row>290</xdr:row>
      <xdr:rowOff>92741</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17026</xdr:colOff>
      <xdr:row>252</xdr:row>
      <xdr:rowOff>96237</xdr:rowOff>
    </xdr:from>
    <xdr:to>
      <xdr:col>11</xdr:col>
      <xdr:colOff>39530</xdr:colOff>
      <xdr:row>267</xdr:row>
      <xdr:rowOff>55880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17026</xdr:colOff>
      <xdr:row>214</xdr:row>
      <xdr:rowOff>19527</xdr:rowOff>
    </xdr:from>
    <xdr:to>
      <xdr:col>11</xdr:col>
      <xdr:colOff>39530</xdr:colOff>
      <xdr:row>229</xdr:row>
      <xdr:rowOff>16298</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20927</xdr:colOff>
      <xdr:row>177</xdr:row>
      <xdr:rowOff>19338</xdr:rowOff>
    </xdr:from>
    <xdr:to>
      <xdr:col>11</xdr:col>
      <xdr:colOff>266700</xdr:colOff>
      <xdr:row>190</xdr:row>
      <xdr:rowOff>92306</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22082</xdr:rowOff>
    </xdr:from>
    <xdr:to>
      <xdr:col>11</xdr:col>
      <xdr:colOff>56119</xdr:colOff>
      <xdr:row>157</xdr:row>
      <xdr:rowOff>129963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56842</xdr:rowOff>
    </xdr:from>
    <xdr:to>
      <xdr:col>11</xdr:col>
      <xdr:colOff>56784</xdr:colOff>
      <xdr:row>116</xdr:row>
      <xdr:rowOff>94404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60614</xdr:colOff>
      <xdr:row>62</xdr:row>
      <xdr:rowOff>98713</xdr:rowOff>
    </xdr:from>
    <xdr:to>
      <xdr:col>11</xdr:col>
      <xdr:colOff>434340</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588135</xdr:colOff>
      <xdr:row>57</xdr:row>
      <xdr:rowOff>137139</xdr:rowOff>
    </xdr:from>
    <xdr:to>
      <xdr:col>8</xdr:col>
      <xdr:colOff>360531</xdr:colOff>
      <xdr:row>62</xdr:row>
      <xdr:rowOff>56588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631183</xdr:colOff>
      <xdr:row>95</xdr:row>
      <xdr:rowOff>135963</xdr:rowOff>
    </xdr:from>
    <xdr:to>
      <xdr:col>8</xdr:col>
      <xdr:colOff>362623</xdr:colOff>
      <xdr:row>100</xdr:row>
      <xdr:rowOff>60429</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591700</xdr:colOff>
      <xdr:row>134</xdr:row>
      <xdr:rowOff>19556</xdr:rowOff>
    </xdr:from>
    <xdr:to>
      <xdr:col>8</xdr:col>
      <xdr:colOff>340285</xdr:colOff>
      <xdr:row>138</xdr:row>
      <xdr:rowOff>98175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478233</xdr:colOff>
      <xdr:row>172</xdr:row>
      <xdr:rowOff>53392</xdr:rowOff>
    </xdr:from>
    <xdr:to>
      <xdr:col>8</xdr:col>
      <xdr:colOff>269679</xdr:colOff>
      <xdr:row>176</xdr:row>
      <xdr:rowOff>130499</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284708</xdr:colOff>
      <xdr:row>214</xdr:row>
      <xdr:rowOff>17802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136533</xdr:rowOff>
    </xdr:from>
    <xdr:to>
      <xdr:col>8</xdr:col>
      <xdr:colOff>324638</xdr:colOff>
      <xdr:row>252</xdr:row>
      <xdr:rowOff>92177</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592141</xdr:colOff>
      <xdr:row>285</xdr:row>
      <xdr:rowOff>112981</xdr:rowOff>
    </xdr:from>
    <xdr:to>
      <xdr:col>8</xdr:col>
      <xdr:colOff>321676</xdr:colOff>
      <xdr:row>290</xdr:row>
      <xdr:rowOff>53386</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553557</xdr:colOff>
      <xdr:row>324</xdr:row>
      <xdr:rowOff>20681</xdr:rowOff>
    </xdr:from>
    <xdr:to>
      <xdr:col>8</xdr:col>
      <xdr:colOff>283092</xdr:colOff>
      <xdr:row>328</xdr:row>
      <xdr:rowOff>98125</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515503</xdr:colOff>
      <xdr:row>361</xdr:row>
      <xdr:rowOff>136669</xdr:rowOff>
    </xdr:from>
    <xdr:to>
      <xdr:col>8</xdr:col>
      <xdr:colOff>282184</xdr:colOff>
      <xdr:row>366</xdr:row>
      <xdr:rowOff>54943</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550414</xdr:colOff>
      <xdr:row>400</xdr:row>
      <xdr:rowOff>22667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554782</xdr:colOff>
      <xdr:row>438</xdr:row>
      <xdr:rowOff>16341</xdr:rowOff>
    </xdr:from>
    <xdr:to>
      <xdr:col>8</xdr:col>
      <xdr:colOff>327178</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549532</xdr:colOff>
      <xdr:row>476</xdr:row>
      <xdr:rowOff>35424</xdr:rowOff>
    </xdr:from>
    <xdr:to>
      <xdr:col>8</xdr:col>
      <xdr:colOff>284782</xdr:colOff>
      <xdr:row>480</xdr:row>
      <xdr:rowOff>94964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515608</xdr:colOff>
      <xdr:row>513</xdr:row>
      <xdr:rowOff>136436</xdr:rowOff>
    </xdr:from>
    <xdr:to>
      <xdr:col>8</xdr:col>
      <xdr:colOff>282289</xdr:colOff>
      <xdr:row>518</xdr:row>
      <xdr:rowOff>60846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551139</xdr:colOff>
      <xdr:row>552</xdr:row>
      <xdr:rowOff>39762</xdr:rowOff>
    </xdr:from>
    <xdr:to>
      <xdr:col>8</xdr:col>
      <xdr:colOff>288294</xdr:colOff>
      <xdr:row>556</xdr:row>
      <xdr:rowOff>134048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554314</xdr:colOff>
      <xdr:row>590</xdr:row>
      <xdr:rowOff>131952</xdr:rowOff>
    </xdr:from>
    <xdr:to>
      <xdr:col>8</xdr:col>
      <xdr:colOff>285754</xdr:colOff>
      <xdr:row>595</xdr:row>
      <xdr:rowOff>53701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554314</xdr:colOff>
      <xdr:row>628</xdr:row>
      <xdr:rowOff>18393</xdr:rowOff>
    </xdr:from>
    <xdr:to>
      <xdr:col>8</xdr:col>
      <xdr:colOff>285754</xdr:colOff>
      <xdr:row>632</xdr:row>
      <xdr:rowOff>92773</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517305</xdr:colOff>
      <xdr:row>703</xdr:row>
      <xdr:rowOff>135535</xdr:rowOff>
    </xdr:from>
    <xdr:to>
      <xdr:col>8</xdr:col>
      <xdr:colOff>248745</xdr:colOff>
      <xdr:row>708</xdr:row>
      <xdr:rowOff>59006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135866</xdr:rowOff>
    </xdr:from>
    <xdr:to>
      <xdr:col>8</xdr:col>
      <xdr:colOff>284805</xdr:colOff>
      <xdr:row>670</xdr:row>
      <xdr:rowOff>22206</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54519</xdr:rowOff>
    </xdr:from>
    <xdr:to>
      <xdr:col>19</xdr:col>
      <xdr:colOff>587798</xdr:colOff>
      <xdr:row>55</xdr:row>
      <xdr:rowOff>282806</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53427</xdr:rowOff>
    </xdr:from>
    <xdr:to>
      <xdr:col>12</xdr:col>
      <xdr:colOff>96097</xdr:colOff>
      <xdr:row>777</xdr:row>
      <xdr:rowOff>16300</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358322</xdr:colOff>
      <xdr:row>936</xdr:row>
      <xdr:rowOff>95836</xdr:rowOff>
    </xdr:from>
    <xdr:to>
      <xdr:col>11</xdr:col>
      <xdr:colOff>324530</xdr:colOff>
      <xdr:row>959</xdr:row>
      <xdr:rowOff>132926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55119</xdr:rowOff>
    </xdr:from>
    <xdr:to>
      <xdr:col>11</xdr:col>
      <xdr:colOff>16726</xdr:colOff>
      <xdr:row>852</xdr:row>
      <xdr:rowOff>60536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94403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282485</xdr:colOff>
      <xdr:row>746</xdr:row>
      <xdr:rowOff>54529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136403</xdr:rowOff>
    </xdr:from>
    <xdr:to>
      <xdr:col>8</xdr:col>
      <xdr:colOff>284275</xdr:colOff>
      <xdr:row>784</xdr:row>
      <xdr:rowOff>58193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323083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550182</xdr:colOff>
      <xdr:row>855</xdr:row>
      <xdr:rowOff>129927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517567</xdr:colOff>
      <xdr:row>931</xdr:row>
      <xdr:rowOff>93899</xdr:rowOff>
    </xdr:from>
    <xdr:to>
      <xdr:col>8</xdr:col>
      <xdr:colOff>339626</xdr:colOff>
      <xdr:row>936</xdr:row>
      <xdr:rowOff>96805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549758</xdr:colOff>
      <xdr:row>1083</xdr:row>
      <xdr:rowOff>92386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552846</xdr:colOff>
      <xdr:row>1159</xdr:row>
      <xdr:rowOff>80005</xdr:rowOff>
    </xdr:from>
    <xdr:to>
      <xdr:col>8</xdr:col>
      <xdr:colOff>285377</xdr:colOff>
      <xdr:row>1164</xdr:row>
      <xdr:rowOff>95630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549577</xdr:colOff>
      <xdr:row>1197</xdr:row>
      <xdr:rowOff>134760</xdr:rowOff>
    </xdr:from>
    <xdr:to>
      <xdr:col>8</xdr:col>
      <xdr:colOff>305994</xdr:colOff>
      <xdr:row>1203</xdr:row>
      <xdr:rowOff>18810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548661</xdr:colOff>
      <xdr:row>1236</xdr:row>
      <xdr:rowOff>22809</xdr:rowOff>
    </xdr:from>
    <xdr:to>
      <xdr:col>8</xdr:col>
      <xdr:colOff>301268</xdr:colOff>
      <xdr:row>1241</xdr:row>
      <xdr:rowOff>56511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593165</xdr:colOff>
      <xdr:row>1273</xdr:row>
      <xdr:rowOff>134342</xdr:rowOff>
    </xdr:from>
    <xdr:to>
      <xdr:col>8</xdr:col>
      <xdr:colOff>325696</xdr:colOff>
      <xdr:row>1278</xdr:row>
      <xdr:rowOff>20326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517387</xdr:colOff>
      <xdr:row>1312</xdr:row>
      <xdr:rowOff>38906</xdr:rowOff>
    </xdr:from>
    <xdr:to>
      <xdr:col>8</xdr:col>
      <xdr:colOff>287139</xdr:colOff>
      <xdr:row>1316</xdr:row>
      <xdr:rowOff>136542</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549772</xdr:colOff>
      <xdr:row>1349</xdr:row>
      <xdr:rowOff>94159</xdr:rowOff>
    </xdr:from>
    <xdr:to>
      <xdr:col>8</xdr:col>
      <xdr:colOff>327144</xdr:colOff>
      <xdr:row>1354</xdr:row>
      <xdr:rowOff>53717</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323733</xdr:colOff>
      <xdr:row>860</xdr:row>
      <xdr:rowOff>21608</xdr:rowOff>
    </xdr:from>
    <xdr:to>
      <xdr:col>15</xdr:col>
      <xdr:colOff>325119</xdr:colOff>
      <xdr:row>891</xdr:row>
      <xdr:rowOff>206798</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16299</xdr:colOff>
      <xdr:row>929</xdr:row>
      <xdr:rowOff>206800</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132117</xdr:rowOff>
    </xdr:from>
    <xdr:to>
      <xdr:col>10</xdr:col>
      <xdr:colOff>933589</xdr:colOff>
      <xdr:row>1067</xdr:row>
      <xdr:rowOff>94404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15909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16821</xdr:colOff>
      <xdr:row>1182</xdr:row>
      <xdr:rowOff>92306</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53710</xdr:rowOff>
    </xdr:from>
    <xdr:to>
      <xdr:col>11</xdr:col>
      <xdr:colOff>16003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15612</xdr:colOff>
      <xdr:row>1241</xdr:row>
      <xdr:rowOff>136834</xdr:rowOff>
    </xdr:from>
    <xdr:to>
      <xdr:col>11</xdr:col>
      <xdr:colOff>57068</xdr:colOff>
      <xdr:row>1258</xdr:row>
      <xdr:rowOff>55880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358284</xdr:colOff>
      <xdr:row>1277</xdr:row>
      <xdr:rowOff>97168</xdr:rowOff>
    </xdr:from>
    <xdr:to>
      <xdr:col>11</xdr:col>
      <xdr:colOff>475404</xdr:colOff>
      <xdr:row>1308</xdr:row>
      <xdr:rowOff>60537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324008</xdr:colOff>
      <xdr:row>1317</xdr:row>
      <xdr:rowOff>98213</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15398</xdr:colOff>
      <xdr:row>1355</xdr:row>
      <xdr:rowOff>1194</xdr:rowOff>
    </xdr:from>
    <xdr:to>
      <xdr:col>11</xdr:col>
      <xdr:colOff>79686</xdr:colOff>
      <xdr:row>1381</xdr:row>
      <xdr:rowOff>94403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98430</xdr:rowOff>
    </xdr:from>
    <xdr:to>
      <xdr:col>10</xdr:col>
      <xdr:colOff>607644</xdr:colOff>
      <xdr:row>1405</xdr:row>
      <xdr:rowOff>98194</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324606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550157</xdr:colOff>
      <xdr:row>1464</xdr:row>
      <xdr:rowOff>19540</xdr:rowOff>
    </xdr:from>
    <xdr:to>
      <xdr:col>8</xdr:col>
      <xdr:colOff>308292</xdr:colOff>
      <xdr:row>1468</xdr:row>
      <xdr:rowOff>130760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246696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548891</xdr:colOff>
      <xdr:row>1616</xdr:row>
      <xdr:rowOff>18403</xdr:rowOff>
    </xdr:from>
    <xdr:to>
      <xdr:col>8</xdr:col>
      <xdr:colOff>282896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96686</xdr:rowOff>
    </xdr:from>
    <xdr:to>
      <xdr:col>8</xdr:col>
      <xdr:colOff>285436</xdr:colOff>
      <xdr:row>1658</xdr:row>
      <xdr:rowOff>53841</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513568</xdr:colOff>
      <xdr:row>1692</xdr:row>
      <xdr:rowOff>57974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930592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16192</xdr:colOff>
      <xdr:row>1506</xdr:row>
      <xdr:rowOff>135877</xdr:rowOff>
    </xdr:from>
    <xdr:to>
      <xdr:col>11</xdr:col>
      <xdr:colOff>2268</xdr:colOff>
      <xdr:row>1523</xdr:row>
      <xdr:rowOff>57574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19368</xdr:colOff>
      <xdr:row>1620</xdr:row>
      <xdr:rowOff>130337</xdr:rowOff>
    </xdr:from>
    <xdr:to>
      <xdr:col>10</xdr:col>
      <xdr:colOff>896303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19368</xdr:colOff>
      <xdr:row>1658</xdr:row>
      <xdr:rowOff>78630</xdr:rowOff>
    </xdr:from>
    <xdr:to>
      <xdr:col>10</xdr:col>
      <xdr:colOff>936308</xdr:colOff>
      <xdr:row>1671</xdr:row>
      <xdr:rowOff>59575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18838</xdr:colOff>
      <xdr:row>1697</xdr:row>
      <xdr:rowOff>91905</xdr:rowOff>
    </xdr:from>
    <xdr:to>
      <xdr:col>10</xdr:col>
      <xdr:colOff>894609</xdr:colOff>
      <xdr:row>1714</xdr:row>
      <xdr:rowOff>16298</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549276</xdr:colOff>
      <xdr:row>1762</xdr:row>
      <xdr:rowOff>134620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20910</xdr:colOff>
      <xdr:row>1772</xdr:row>
      <xdr:rowOff>130839</xdr:rowOff>
    </xdr:from>
    <xdr:to>
      <xdr:col>10</xdr:col>
      <xdr:colOff>854546</xdr:colOff>
      <xdr:row>1799</xdr:row>
      <xdr:rowOff>134620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21488</xdr:colOff>
      <xdr:row>1810</xdr:row>
      <xdr:rowOff>131876</xdr:rowOff>
    </xdr:from>
    <xdr:to>
      <xdr:col>10</xdr:col>
      <xdr:colOff>967740</xdr:colOff>
      <xdr:row>1841</xdr:row>
      <xdr:rowOff>134620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18574</xdr:rowOff>
    </xdr:from>
    <xdr:to>
      <xdr:col>8</xdr:col>
      <xdr:colOff>283016</xdr:colOff>
      <xdr:row>1772</xdr:row>
      <xdr:rowOff>98344</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516274</xdr:colOff>
      <xdr:row>1805</xdr:row>
      <xdr:rowOff>133990</xdr:rowOff>
    </xdr:from>
    <xdr:to>
      <xdr:col>8</xdr:col>
      <xdr:colOff>246919</xdr:colOff>
      <xdr:row>1810</xdr:row>
      <xdr:rowOff>92840</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19368</xdr:colOff>
      <xdr:row>974</xdr:row>
      <xdr:rowOff>137013</xdr:rowOff>
    </xdr:from>
    <xdr:to>
      <xdr:col>11</xdr:col>
      <xdr:colOff>54283</xdr:colOff>
      <xdr:row>987</xdr:row>
      <xdr:rowOff>94499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625813</xdr:colOff>
      <xdr:row>970</xdr:row>
      <xdr:rowOff>20320</xdr:rowOff>
    </xdr:from>
    <xdr:to>
      <xdr:col>8</xdr:col>
      <xdr:colOff>359793</xdr:colOff>
      <xdr:row>974</xdr:row>
      <xdr:rowOff>56610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16193</xdr:colOff>
      <xdr:row>1012</xdr:row>
      <xdr:rowOff>41395</xdr:rowOff>
    </xdr:from>
    <xdr:to>
      <xdr:col>11</xdr:col>
      <xdr:colOff>93558</xdr:colOff>
      <xdr:row>1025</xdr:row>
      <xdr:rowOff>19836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93980</xdr:rowOff>
    </xdr:from>
    <xdr:to>
      <xdr:col>8</xdr:col>
      <xdr:colOff>345728</xdr:colOff>
      <xdr:row>1012</xdr:row>
      <xdr:rowOff>16845</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587693</xdr:colOff>
      <xdr:row>1046</xdr:row>
      <xdr:rowOff>20320</xdr:rowOff>
    </xdr:from>
    <xdr:to>
      <xdr:col>8</xdr:col>
      <xdr:colOff>327388</xdr:colOff>
      <xdr:row>1050</xdr:row>
      <xdr:rowOff>56850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16193</xdr:colOff>
      <xdr:row>1126</xdr:row>
      <xdr:rowOff>78645</xdr:rowOff>
    </xdr:from>
    <xdr:to>
      <xdr:col>11</xdr:col>
      <xdr:colOff>40084</xdr:colOff>
      <xdr:row>1142</xdr:row>
      <xdr:rowOff>132926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17145</xdr:rowOff>
    </xdr:from>
    <xdr:to>
      <xdr:col>8</xdr:col>
      <xdr:colOff>364009</xdr:colOff>
      <xdr:row>1126</xdr:row>
      <xdr:rowOff>95345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16828</xdr:colOff>
      <xdr:row>1430</xdr:row>
      <xdr:rowOff>96844</xdr:rowOff>
    </xdr:from>
    <xdr:to>
      <xdr:col>10</xdr:col>
      <xdr:colOff>894398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591933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16193</xdr:colOff>
      <xdr:row>1544</xdr:row>
      <xdr:rowOff>132431</xdr:rowOff>
    </xdr:from>
    <xdr:to>
      <xdr:col>10</xdr:col>
      <xdr:colOff>818198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517733</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516997</xdr:colOff>
      <xdr:row>1578</xdr:row>
      <xdr:rowOff>2116</xdr:rowOff>
    </xdr:from>
    <xdr:to>
      <xdr:col>8</xdr:col>
      <xdr:colOff>283387</xdr:colOff>
      <xdr:row>1582</xdr:row>
      <xdr:rowOff>134912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131021</xdr:rowOff>
    </xdr:from>
    <xdr:to>
      <xdr:col>14</xdr:col>
      <xdr:colOff>593551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555308</xdr:colOff>
      <xdr:row>1729</xdr:row>
      <xdr:rowOff>133350</xdr:rowOff>
    </xdr:from>
    <xdr:to>
      <xdr:col>8</xdr:col>
      <xdr:colOff>287858</xdr:colOff>
      <xdr:row>1734</xdr:row>
      <xdr:rowOff>92200</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94814</xdr:rowOff>
    </xdr:from>
    <xdr:to>
      <xdr:col>10</xdr:col>
      <xdr:colOff>936143</xdr:colOff>
      <xdr:row>1865</xdr:row>
      <xdr:rowOff>53808</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282723</xdr:colOff>
      <xdr:row>1848</xdr:row>
      <xdr:rowOff>98690</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94709</xdr:rowOff>
    </xdr:from>
    <xdr:to>
      <xdr:col>8</xdr:col>
      <xdr:colOff>321182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98186</xdr:rowOff>
    </xdr:from>
    <xdr:to>
      <xdr:col>10</xdr:col>
      <xdr:colOff>968799</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56606</xdr:rowOff>
    </xdr:from>
    <xdr:to>
      <xdr:col>8</xdr:col>
      <xdr:colOff>326311</xdr:colOff>
      <xdr:row>1887</xdr:row>
      <xdr:rowOff>59789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18357</xdr:colOff>
      <xdr:row>215</xdr:row>
      <xdr:rowOff>57943</xdr:rowOff>
    </xdr:from>
    <xdr:to>
      <xdr:col>11</xdr:col>
      <xdr:colOff>168909</xdr:colOff>
      <xdr:row>229</xdr:row>
      <xdr:rowOff>134216</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17970</xdr:rowOff>
    </xdr:from>
    <xdr:to>
      <xdr:col>11</xdr:col>
      <xdr:colOff>171450</xdr:colOff>
      <xdr:row>195</xdr:row>
      <xdr:rowOff>130810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323914</xdr:colOff>
      <xdr:row>138</xdr:row>
      <xdr:rowOff>95520</xdr:rowOff>
    </xdr:from>
    <xdr:to>
      <xdr:col>11</xdr:col>
      <xdr:colOff>15462</xdr:colOff>
      <xdr:row>164</xdr:row>
      <xdr:rowOff>21886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288804</xdr:colOff>
      <xdr:row>100</xdr:row>
      <xdr:rowOff>38646</xdr:rowOff>
    </xdr:from>
    <xdr:to>
      <xdr:col>11</xdr:col>
      <xdr:colOff>20955</xdr:colOff>
      <xdr:row>120</xdr:row>
      <xdr:rowOff>98213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363008</xdr:colOff>
      <xdr:row>63</xdr:row>
      <xdr:rowOff>16769</xdr:rowOff>
    </xdr:from>
    <xdr:to>
      <xdr:col>11</xdr:col>
      <xdr:colOff>18534</xdr:colOff>
      <xdr:row>77</xdr:row>
      <xdr:rowOff>98213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322614</xdr:colOff>
      <xdr:row>26</xdr:row>
      <xdr:rowOff>2033</xdr:rowOff>
    </xdr:from>
    <xdr:to>
      <xdr:col>11</xdr:col>
      <xdr:colOff>2671</xdr:colOff>
      <xdr:row>49</xdr:row>
      <xdr:rowOff>130809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512360</xdr:colOff>
      <xdr:row>21</xdr:row>
      <xdr:rowOff>57785</xdr:rowOff>
    </xdr:from>
    <xdr:to>
      <xdr:col>8</xdr:col>
      <xdr:colOff>285028</xdr:colOff>
      <xdr:row>25</xdr:row>
      <xdr:rowOff>91989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555529</xdr:colOff>
      <xdr:row>58</xdr:row>
      <xdr:rowOff>54797</xdr:rowOff>
    </xdr:from>
    <xdr:to>
      <xdr:col>8</xdr:col>
      <xdr:colOff>283113</xdr:colOff>
      <xdr:row>62</xdr:row>
      <xdr:rowOff>95468</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513354</xdr:colOff>
      <xdr:row>96</xdr:row>
      <xdr:rowOff>1737</xdr:rowOff>
    </xdr:from>
    <xdr:to>
      <xdr:col>8</xdr:col>
      <xdr:colOff>265703</xdr:colOff>
      <xdr:row>100</xdr:row>
      <xdr:rowOff>22421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478183</xdr:colOff>
      <xdr:row>134</xdr:row>
      <xdr:rowOff>53945</xdr:rowOff>
    </xdr:from>
    <xdr:to>
      <xdr:col>8</xdr:col>
      <xdr:colOff>246723</xdr:colOff>
      <xdr:row>138</xdr:row>
      <xdr:rowOff>94500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548825</xdr:colOff>
      <xdr:row>171</xdr:row>
      <xdr:rowOff>97864</xdr:rowOff>
    </xdr:from>
    <xdr:to>
      <xdr:col>8</xdr:col>
      <xdr:colOff>326890</xdr:colOff>
      <xdr:row>175</xdr:row>
      <xdr:rowOff>135482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554767</xdr:colOff>
      <xdr:row>210</xdr:row>
      <xdr:rowOff>134660</xdr:rowOff>
    </xdr:from>
    <xdr:to>
      <xdr:col>8</xdr:col>
      <xdr:colOff>284256</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429687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7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649999999999999"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8" t="s">
        <v>470</v>
      </c>
      <c r="C9" s="248"/>
      <c r="D9" s="248"/>
      <c r="E9" s="248"/>
      <c r="F9" s="248"/>
      <c r="G9" s="248"/>
      <c r="H9" s="248"/>
      <c r="I9" s="248"/>
      <c r="J9" s="248"/>
      <c r="K9" s="248"/>
      <c r="L9" s="248"/>
      <c r="M9" s="248"/>
      <c r="N9" s="248"/>
    </row>
    <row r="10" spans="1:64" ht="13.5" customHeight="1"/>
    <row r="11" spans="1:64" ht="86.25" customHeight="1">
      <c r="B11" s="248" t="s">
        <v>279</v>
      </c>
      <c r="C11" s="248"/>
      <c r="D11" s="248"/>
      <c r="E11" s="248"/>
      <c r="F11" s="248"/>
      <c r="G11" s="248"/>
      <c r="H11" s="248"/>
      <c r="I11" s="248"/>
      <c r="J11" s="248"/>
      <c r="K11" s="248"/>
      <c r="L11" s="248"/>
      <c r="M11" s="248"/>
      <c r="N11" s="248"/>
    </row>
    <row r="12" spans="1:64" ht="13.5" customHeight="1"/>
    <row r="13" spans="1:64" ht="319.5" customHeight="1">
      <c r="B13" s="248" t="s">
        <v>469</v>
      </c>
      <c r="C13" s="248"/>
      <c r="D13" s="248"/>
      <c r="E13" s="248"/>
      <c r="F13" s="248"/>
      <c r="G13" s="248"/>
      <c r="H13" s="248"/>
      <c r="I13" s="248"/>
      <c r="J13" s="248"/>
      <c r="K13" s="248"/>
      <c r="L13" s="248"/>
      <c r="M13" s="248"/>
      <c r="N13" s="248"/>
    </row>
    <row r="15" spans="1:64" ht="274.5" customHeight="1">
      <c r="B15" s="249" t="s">
        <v>473</v>
      </c>
      <c r="C15" s="249"/>
      <c r="D15" s="249"/>
      <c r="E15" s="249"/>
      <c r="F15" s="249"/>
      <c r="G15" s="249"/>
      <c r="H15" s="249"/>
      <c r="I15" s="249"/>
      <c r="J15" s="249"/>
      <c r="K15" s="249"/>
      <c r="L15" s="249"/>
      <c r="M15" s="249"/>
      <c r="N15" s="249"/>
    </row>
    <row r="17" spans="2:14" ht="29.25" customHeight="1">
      <c r="B17" s="250" t="s">
        <v>272</v>
      </c>
      <c r="C17" s="250"/>
      <c r="D17" s="250"/>
      <c r="E17" s="250"/>
      <c r="F17" s="250"/>
      <c r="G17" s="250"/>
      <c r="H17" s="250"/>
      <c r="I17" s="250"/>
      <c r="J17" s="250"/>
      <c r="K17" s="250"/>
      <c r="L17" s="250"/>
      <c r="M17" s="250"/>
      <c r="N17" s="250"/>
    </row>
    <row r="19" spans="2:14" ht="17.5">
      <c r="B19" s="213" t="s">
        <v>357</v>
      </c>
      <c r="C19" s="212"/>
      <c r="D19" s="212"/>
      <c r="E19" s="212"/>
      <c r="F19" s="212"/>
      <c r="G19" s="212"/>
      <c r="H19" s="212"/>
      <c r="I19" s="212"/>
      <c r="J19" s="212"/>
      <c r="K19" s="212"/>
      <c r="L19" s="212"/>
      <c r="M19" s="212"/>
      <c r="N19" s="212"/>
    </row>
    <row r="20" spans="2:14" ht="18.5">
      <c r="B20" s="210" t="s">
        <v>280</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0" zoomScaleNormal="100" workbookViewId="0">
      <selection activeCell="C36" sqref="C36"/>
    </sheetView>
  </sheetViews>
  <sheetFormatPr baseColWidth="10" defaultColWidth="11.54296875" defaultRowHeight="12.5"/>
  <cols>
    <col min="1" max="1" width="7.90625" style="14" customWidth="1"/>
    <col min="2" max="2" width="16.08984375" style="14" customWidth="1"/>
    <col min="3" max="3" width="71"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7.9"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8.899999999999999" customHeight="1">
      <c r="B8" s="268" t="s">
        <v>322</v>
      </c>
      <c r="C8" s="268"/>
      <c r="D8" s="268"/>
      <c r="E8" s="268"/>
      <c r="F8" s="268"/>
      <c r="G8" s="268"/>
      <c r="H8" s="268"/>
      <c r="I8" s="268"/>
      <c r="J8" s="268"/>
      <c r="K8" s="268"/>
      <c r="L8" s="268"/>
      <c r="M8" s="268"/>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5" t="s">
        <v>152</v>
      </c>
      <c r="C11" s="266"/>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60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60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K28" s="19"/>
    </row>
    <row r="29" spans="1:13"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K29" s="19"/>
    </row>
    <row r="30" spans="1:13"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row>
    <row r="31" spans="1:13"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row>
    <row r="32" spans="1:13"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row>
    <row r="33" spans="1:11"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33"/>
    </row>
    <row r="67" spans="1:11"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row>
    <row r="68" spans="1:11"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row>
    <row r="69" spans="1:11"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row>
    <row r="70" spans="1:11"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row>
    <row r="71" spans="1:11"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row>
    <row r="105" spans="1:11"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row>
    <row r="106" spans="1:11"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row>
    <row r="107" spans="1:11"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row>
    <row r="108" spans="1:11"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row>
    <row r="109" spans="1:11"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row>
    <row r="143" spans="1:11"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row>
    <row r="144" spans="1:11"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row>
    <row r="145" spans="1:11"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row>
    <row r="146" spans="1:11"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row>
    <row r="147" spans="1:11"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row>
    <row r="181" spans="1:11"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row>
    <row r="182" spans="1:11"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row>
    <row r="183" spans="1:11"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row>
    <row r="184" spans="1:11"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row>
    <row r="185" spans="1:11"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33"/>
    </row>
    <row r="219" spans="1:11"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row>
    <row r="220" spans="1:11"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row>
    <row r="221" spans="1:11"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row>
    <row r="222" spans="1:11"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row>
    <row r="223" spans="1:11"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Normal="100" workbookViewId="0">
      <selection activeCell="C183" sqref="C183"/>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8.899999999999999" customHeight="1">
      <c r="B8" s="111" t="s">
        <v>97</v>
      </c>
      <c r="C8" s="19"/>
      <c r="D8" s="107"/>
      <c r="E8" s="107"/>
      <c r="F8" s="19"/>
      <c r="G8" s="19"/>
      <c r="H8" s="19"/>
      <c r="I8" s="19"/>
      <c r="J8" s="19"/>
      <c r="K8" s="19"/>
      <c r="L8" s="19"/>
      <c r="M8" s="19"/>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30</v>
      </c>
      <c r="H12" s="53">
        <f ca="1">IF(($G$15+$K$15)=0,0,G12/($G$15+$K$15))</f>
        <v>0.6</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20</v>
      </c>
      <c r="H13" s="53">
        <f ca="1">IF(($G$15+$K$15)=0,0,G13/($G$15+$K$15))</f>
        <v>0.4</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26</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26</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26</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10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26</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26</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26</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26</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26</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26</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6" zoomScaleNormal="100" workbookViewId="0">
      <selection activeCell="F30" sqref="F30"/>
    </sheetView>
  </sheetViews>
  <sheetFormatPr baseColWidth="10" defaultColWidth="11.54296875" defaultRowHeight="12.5"/>
  <cols>
    <col min="1" max="1" width="3.08984375" style="14" customWidth="1"/>
    <col min="2" max="2" width="9.08984375" style="113" customWidth="1"/>
    <col min="3" max="3" width="18.54296875" style="102" customWidth="1"/>
    <col min="4" max="4" width="59.36328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25" customHeight="1" thickBot="1">
      <c r="B6" s="178"/>
      <c r="C6" s="67"/>
      <c r="D6" s="67"/>
      <c r="E6" s="67"/>
      <c r="F6" s="67"/>
      <c r="G6" s="67"/>
      <c r="H6" s="67"/>
      <c r="I6" s="67"/>
      <c r="J6" s="67"/>
      <c r="K6" s="276" t="s">
        <v>40</v>
      </c>
      <c r="L6" s="276"/>
      <c r="M6" s="276"/>
      <c r="N6" s="67"/>
      <c r="O6" s="276" t="s">
        <v>41</v>
      </c>
      <c r="P6" s="276"/>
      <c r="Q6" s="276"/>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25" customHeight="1">
      <c r="C7" s="277" t="s">
        <v>152</v>
      </c>
      <c r="D7" s="278"/>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25" customHeight="1">
      <c r="C8" s="279" t="s">
        <v>361</v>
      </c>
      <c r="D8" s="280"/>
      <c r="E8" s="46" t="str">
        <f ca="1">CONCATENATE(COUNTIF(E55:CR55,"CONFORME")," (",ROUND(COUNTIF(E55:CR55,"CONFORME")*100/COUNTA($E$19:CR$19),2)," %)")</f>
        <v>36 (39,13 %)</v>
      </c>
      <c r="F8" s="140" t="str">
        <f ca="1">CONCATENATE(COUNTIF(E55:CR55,"NO CONFORME")," (",ROUND(COUNTIF(E55:CR55,"NO CONFORME")*100/COUNTA($E$19:CR$19),2)," %)")</f>
        <v>10 (10,87 %)</v>
      </c>
      <c r="G8" s="47" t="str">
        <f ca="1">CONCATENATE(COUNTIF(E55:CR55,"N/A")," (",ROUND(COUNTIF(E55:CR55,"N/A")*100/COUNTA($E$19:CR$19),2)," %)")</f>
        <v>46 (50 %)</v>
      </c>
      <c r="H8" s="47">
        <f ca="1">COUNTIF(E55:CR55,"ERROR")</f>
        <v>0</v>
      </c>
      <c r="I8" s="48">
        <f ca="1">COUNTIF(E55:CR55,"EN CURSO")</f>
        <v>0</v>
      </c>
      <c r="J8" s="236">
        <f ca="1">SUM(VALUE(LEFT(E8,SEARCH(" ",E8)-1)),VALUE(LEFT(F8,SEARCH(" ",F8)-1)))</f>
        <v>46</v>
      </c>
      <c r="K8" s="52" t="s">
        <v>47</v>
      </c>
      <c r="L8" s="46">
        <f ca="1">COUNTIF( $E$20:INDIRECT("$CR$" &amp;  SUM(19,COUNTIFS(B20:B54,"&lt;&gt;"))),"Pasa")+ COUNTIF($E$61:INDIRECT("$AW$" &amp;  SUM(60,COUNTIFS(B61:B95,"&lt;&gt;"))),"Pasa")</f>
        <v>265</v>
      </c>
      <c r="M8" s="53">
        <f ca="1">IF(($L$11+$P$11)=0,0,L8/($L$11+$P$11))</f>
        <v>0.28804347826086957</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25" customHeight="1">
      <c r="B9" s="240"/>
      <c r="C9" s="285" t="s">
        <v>154</v>
      </c>
      <c r="D9" s="286"/>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72</v>
      </c>
      <c r="M9" s="53">
        <f ca="1">IF(($L$11+$P$11)=0,0,L9/($L$11+$P$11))</f>
        <v>7.8260869565217397E-2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25" customHeight="1" thickBot="1">
      <c r="C10" s="290" t="s">
        <v>340</v>
      </c>
      <c r="D10" s="291"/>
      <c r="E10" s="241" t="str">
        <f ca="1">CONCATENATE(ROUND(E11/137*100,2)," %")</f>
        <v>26,28 %</v>
      </c>
      <c r="F10" s="241" t="str">
        <f ca="1">CONCATENATE(ROUND(F11/137*100,2)," %")</f>
        <v>7,3 %</v>
      </c>
      <c r="G10" s="241" t="str">
        <f ca="1">CONCATENATE(ROUND(G11/137*100,2)," %")</f>
        <v>66,42 %</v>
      </c>
      <c r="H10" s="241" t="str">
        <f ca="1">CONCATENATE(ROUND(H11/137*100,2)," %")</f>
        <v>0 %</v>
      </c>
      <c r="I10" s="243" t="str">
        <f ca="1">CONCATENATE(ROUND(I11/137*100,2)," %")</f>
        <v>0 %</v>
      </c>
      <c r="J10" s="244"/>
      <c r="K10" s="52" t="s">
        <v>31</v>
      </c>
      <c r="L10" s="46">
        <f ca="1">COUNTIF( $E$20:INDIRECT("$CR$" &amp;  SUM(19,COUNTIFS(B20:B54,"&lt;&gt;"))),"N/A")+COUNTIF($E$61:INDIRECT("$AW$" &amp;  SUM(60,COUNTIFS(B61:B95,"&lt;&gt;"))),"N/A")</f>
        <v>583</v>
      </c>
      <c r="M10" s="53">
        <f ca="1">IF(($L$11+$P$11)=0,0,L10/($L$11+$P$11))</f>
        <v>0.63369565217391299</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25" customHeight="1" thickBot="1">
      <c r="C11" s="284"/>
      <c r="D11" s="284"/>
      <c r="E11" s="242">
        <f ca="1">SUM(VALUE(LEFT(E8,SEARCH(" ",E8)-1)),VALUE(LEFT(E9,SEARCH(" ",E9)-1)))</f>
        <v>36</v>
      </c>
      <c r="F11" s="242">
        <f ca="1">SUM(VALUE(LEFT(F8,SEARCH(" ",F8)-1)),VALUE(LEFT(F9,SEARCH(" ",F9)-1)))</f>
        <v>10</v>
      </c>
      <c r="G11" s="242">
        <f ca="1">SUM(VALUE(LEFT(G8,SEARCH(" ",G8)-1)),VALUE(LEFT(G9,SEARCH(" ",G9)-1)))</f>
        <v>91</v>
      </c>
      <c r="H11" s="242">
        <f ca="1">SUM(H8:H9)</f>
        <v>0</v>
      </c>
      <c r="I11" s="242">
        <f ca="1">SUM(I8:I9)</f>
        <v>0</v>
      </c>
      <c r="K11" s="54" t="s">
        <v>48</v>
      </c>
      <c r="L11" s="49">
        <f ca="1">SUM(L8:L10)</f>
        <v>920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25"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75" customHeight="1" thickTop="1">
      <c r="B13" s="180"/>
      <c r="C13" s="180"/>
      <c r="D13" s="182" t="s">
        <v>49</v>
      </c>
      <c r="E13" s="91"/>
      <c r="F13" s="287" t="s">
        <v>339</v>
      </c>
      <c r="G13" s="288"/>
      <c r="H13" s="288"/>
      <c r="I13" s="289"/>
      <c r="J13" s="91"/>
      <c r="K13" s="287" t="s">
        <v>273</v>
      </c>
      <c r="L13" s="289"/>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7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81">
        <f ca="1">IF(AND(D14&lt;&gt;"Evaluación en curso",D14&lt;&gt;"Evaluación con errores",D14&lt;&gt;""), IF(J8=0,"", ROUND(((COUNT(B20:B54)/(COUNT(B20:B54)+COUNT(B61:B95)))*IF(J8=0,0,LEFT(E8,SEARCH(" ",E8)-1)/J8)+(COUNT(B61:B95)/(COUNT(B20:B54)+COUNT(B61:B95)))*IF(J9=0,0,LEFT(E9,SEARCH(" ",E9)-1)/J9))*10,2)),"")</f>
        <v>7.83</v>
      </c>
      <c r="G14" s="282"/>
      <c r="H14" s="282"/>
      <c r="I14" s="283"/>
      <c r="J14" s="91"/>
      <c r="K14" s="281" t="str">
        <f>'03.Muestra'!D52</f>
        <v>NO</v>
      </c>
      <c r="L14" s="283"/>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1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1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2" t="s">
        <v>361</v>
      </c>
      <c r="C17" s="273"/>
      <c r="D17" s="274"/>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9" t="s">
        <v>50</v>
      </c>
      <c r="C18" s="270"/>
      <c r="D18" s="271"/>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Pasa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Falla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N/A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Pasa</v>
      </c>
      <c r="AX20" s="215" t="str" cm="1">
        <f t="array" aca="1" ref="AX20" ca="1">IF($B20="","",IF(ISBLANK(INDIRECT("R9.Web!D"&amp;SUM(18,38*14,1))),"",INDIRECT("R9.Web!D"&amp;SUM(18,38*14,1))))</f>
        <v>N/A</v>
      </c>
      <c r="AY20" s="215" t="str" cm="1">
        <f t="array" aca="1" ref="AY20" ca="1">IF($B20="","",IF(ISBLANK(INDIRECT("R9.Web!D"&amp;SUM(18,38*15,1))),"",INDIRECT("R9.Web!D"&amp;SUM(18,38*15,1))))</f>
        <v>Falla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N/A</v>
      </c>
      <c r="BH20" s="215" t="str" cm="1">
        <f t="array" aca="1" ref="BH20" ca="1">IF($B20="","",IF(ISBLANK(INDIRECT("R9.Web!D"&amp;SUM(18,38*24,1))),"",INDIRECT("R9.Web!D"&amp;SUM(18,38*24,1))))</f>
        <v>N/A</v>
      </c>
      <c r="BI20" s="215" t="str" cm="1">
        <f t="array" aca="1" ref="BI20" ca="1">IF($B20="","",IF(ISBLANK(INDIRECT("R9.Web!D"&amp;SUM(18,38*25,1))),"",INDIRECT("R9.Web!D"&amp;SUM(18,38*25,1))))</f>
        <v>Pasa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N/A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Pasa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Pasa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N/A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Falla</v>
      </c>
      <c r="CE20" s="215" t="str" cm="1">
        <f t="array" aca="1" ref="CE20" ca="1">IF($B20="","",IF(ISBLANK(INDIRECT("R9.Web!D"&amp;SUM(18,38*47,1))),"",INDIRECT("R9.Web!D"&amp;SUM(18,38*47,1))))</f>
        <v>Falla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Pasa</v>
      </c>
      <c r="CR20" s="215" t="str" cm="1">
        <f t="array" aca="1" ref="CR20" ca="1">IF($B20="","",IF(ISBLANK(INDIRECT("R12.ServiciosApoyo!D"&amp;SUM(18,38*4,1))),"",INDIRECT("R12.ServiciosApoyo!D"&amp;SUM(18,38*4,1))))</f>
        <v>Falla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Servicios e información</v>
      </c>
      <c r="D21" s="98" t="str" cm="1">
        <f t="array" ref="D21">IFERROR(INDEX('03.Muestra'!$F$8:$F$42,SMALL(IF("Página Web"='03.Muestra'!$D$8:$D$42,ROW('03.Muestra'!$F$8:$F$42)-MIN(ROW('03.Muestra'!$D$8:$D$42))+1,""),ROW()-19)),"")</f>
        <v>https://www.comunidad.madrid/servicios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Falla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N/A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Pasa</v>
      </c>
      <c r="AX21" s="215" t="str" cm="1">
        <f t="array" aca="1" ref="AX21" ca="1">IF($B21="","",IF(ISBLANK(INDIRECT("R9.Web!D"&amp;SUM(18,38*14,2))),"",INDIRECT("R9.Web!D"&amp;SUM(18,38*14,2))))</f>
        <v>N/A</v>
      </c>
      <c r="AY21" s="215" t="str" cm="1">
        <f t="array" aca="1" ref="AY21" ca="1">IF($B21="","",IF(ISBLANK(INDIRECT("R9.Web!D"&amp;SUM(18,38*15,2))),"",INDIRECT("R9.Web!D"&amp;SUM(18,38*15,2))))</f>
        <v>Falla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Pasa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N/A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Pasa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Pasa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N/A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Falla</v>
      </c>
      <c r="CE21" s="215" t="str" cm="1">
        <f t="array" aca="1" ref="CE21" ca="1">IF($B21="","",IF(ISBLANK(INDIRECT("R9.Web!D"&amp;SUM(18,38*47,2))),"",INDIRECT("R9.Web!D"&amp;SUM(18,38*47,2))))</f>
        <v>Falla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Pasa</v>
      </c>
      <c r="CR21" s="215" t="str" cm="1">
        <f t="array" aca="1" ref="CR21" ca="1">IF($B21="","",IF(ISBLANK(INDIRECT("R12.ServiciosApoyo!D"&amp;SUM(18,38*4,2))),"",INDIRECT("R12.ServiciosApoyo!D"&amp;SUM(18,38*4,2))))</f>
        <v>Falla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Cultura y turismo</v>
      </c>
      <c r="D22" s="98" t="str" cm="1">
        <f t="array" ref="D22">IFERROR(INDEX('03.Muestra'!$F$8:$F$42,SMALL(IF("Página Web"='03.Muestra'!$D$8:$D$42,ROW('03.Muestra'!$F$8:$F$42)-MIN(ROW('03.Muestra'!$D$8:$D$42))+1,""),ROW()-19)),"")</f>
        <v>https://www.comunidad.madrid/cultura</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Falla</v>
      </c>
      <c r="AQ22" s="215" t="str" cm="1">
        <f t="array" aca="1" ref="AQ22" ca="1">IF($B22="","",IF(ISBLANK(INDIRECT("R9.Web!D"&amp;SUM(18,38*7,3))),"",INDIRECT("R9.Web!D"&amp;SUM(18,38*7,3))))</f>
        <v>Falla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N/A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Pasa</v>
      </c>
      <c r="AX22" s="215" t="str" cm="1">
        <f t="array" aca="1" ref="AX22" ca="1">IF($B22="","",IF(ISBLANK(INDIRECT("R9.Web!D"&amp;SUM(18,38*14,3))),"",INDIRECT("R9.Web!D"&amp;SUM(18,38*14,3))))</f>
        <v>N/A</v>
      </c>
      <c r="AY22" s="215" t="str" cm="1">
        <f t="array" aca="1" ref="AY22" ca="1">IF($B22="","",IF(ISBLANK(INDIRECT("R9.Web!D"&amp;SUM(18,38*15,3))),"",INDIRECT("R9.Web!D"&amp;SUM(18,38*15,3))))</f>
        <v>Falla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Falla</v>
      </c>
      <c r="BD22" s="215" t="str" cm="1">
        <f t="array" aca="1" ref="BD22" ca="1">IF($B22="","",IF(ISBLANK(INDIRECT("R9.Web!D"&amp;SUM(18,38*20,3))),"",INDIRECT("R9.Web!D"&amp;SUM(18,38*20,3))))</f>
        <v>Falla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Pasa</v>
      </c>
      <c r="BJ22" s="215" t="str" cm="1">
        <f t="array" aca="1" ref="BJ22" ca="1">IF($B22="","",IF(ISBLANK(INDIRECT("R9.Web!D"&amp;SUM(18,38*26,3))),"",INDIRECT("R9.Web!D"&amp;SUM(18,38*26,3))))</f>
        <v>Pasa</v>
      </c>
      <c r="BK22" s="215" t="str" cm="1">
        <f t="array" aca="1" ref="BK22" ca="1">IF($B22="","",IF(ISBLANK(INDIRECT("R9.Web!D"&amp;SUM(18,38*27,3))),"",INDIRECT("R9.Web!D"&amp;SUM(18,38*27,3))))</f>
        <v>Falla</v>
      </c>
      <c r="BL22" s="215" t="str" cm="1">
        <f t="array" aca="1" ref="BL22" ca="1">IF($B22="","",IF(ISBLANK(INDIRECT("R9.Web!D"&amp;SUM(18,38*28,3))),"",INDIRECT("R9.Web!D"&amp;SUM(18,38*28,3))))</f>
        <v>Pasa</v>
      </c>
      <c r="BM22" s="215" t="str" cm="1">
        <f t="array" aca="1" ref="BM22" ca="1">IF($B22="","",IF(ISBLANK(INDIRECT("R9.Web!D"&amp;SUM(18,38*29,3))),"",INDIRECT("R9.Web!D"&amp;SUM(18,38*29,3))))</f>
        <v>N/A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Pasa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Pasa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N/A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Falla</v>
      </c>
      <c r="CE22" s="215" t="str" cm="1">
        <f t="array" aca="1" ref="CE22" ca="1">IF($B22="","",IF(ISBLANK(INDIRECT("R9.Web!D"&amp;SUM(18,38*47,3))),"",INDIRECT("R9.Web!D"&amp;SUM(18,38*47,3))))</f>
        <v>Falla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Pasa</v>
      </c>
      <c r="CR22" s="215" t="str" cm="1">
        <f t="array" aca="1" ref="CR22" ca="1">IF($B22="","",IF(ISBLANK(INDIRECT("R12.ServiciosApoyo!D"&amp;SUM(18,38*4,3))),"",INDIRECT("R12.ServiciosApoyo!D"&amp;SUM(18,38*4,3))))</f>
        <v>Falla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Inversión y empresa</v>
      </c>
      <c r="D23" s="98" t="str" cm="1">
        <f t="array" ref="D23">IFERROR(INDEX('03.Muestra'!$F$8:$F$42,SMALL(IF("Página Web"='03.Muestra'!$D$8:$D$42,ROW('03.Muestra'!$F$8:$F$42)-MIN(ROW('03.Muestra'!$D$8:$D$42))+1,""),ROW()-19)),"")</f>
        <v>https://www.comunidad.madrid/inversion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Pasa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Pasa</v>
      </c>
      <c r="AP23" s="215" t="str" cm="1">
        <f t="array" aca="1" ref="AP23" ca="1">IF($B23="","",IF(ISBLANK(INDIRECT("R9.Web!D"&amp;SUM(18,38*6,4))),"",INDIRECT("R9.Web!D"&amp;SUM(18,38*6,4))))</f>
        <v>Pasa</v>
      </c>
      <c r="AQ23" s="215" t="str" cm="1">
        <f t="array" aca="1" ref="AQ23" ca="1">IF($B23="","",IF(ISBLANK(INDIRECT("R9.Web!D"&amp;SUM(18,38*7,4))),"",INDIRECT("R9.Web!D"&amp;SUM(18,38*7,4))))</f>
        <v>Falla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N/A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Pasa</v>
      </c>
      <c r="AX23" s="215" t="str" cm="1">
        <f t="array" aca="1" ref="AX23" ca="1">IF($B23="","",IF(ISBLANK(INDIRECT("R9.Web!D"&amp;SUM(18,38*14,4))),"",INDIRECT("R9.Web!D"&amp;SUM(18,38*14,4))))</f>
        <v>N/A</v>
      </c>
      <c r="AY23" s="215" t="str" cm="1">
        <f t="array" aca="1" ref="AY23" ca="1">IF($B23="","",IF(ISBLANK(INDIRECT("R9.Web!D"&amp;SUM(18,38*15,4))),"",INDIRECT("R9.Web!D"&amp;SUM(18,38*15,4))))</f>
        <v>Falla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Pasa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N/A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Pasa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Pasa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N/A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Falla</v>
      </c>
      <c r="CE23" s="215" t="str" cm="1">
        <f t="array" aca="1" ref="CE23" ca="1">IF($B23="","",IF(ISBLANK(INDIRECT("R9.Web!D"&amp;SUM(18,38*47,4))),"",INDIRECT("R9.Web!D"&amp;SUM(18,38*47,4))))</f>
        <v>Falla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Pasa</v>
      </c>
      <c r="CR23" s="215" t="str" cm="1">
        <f t="array" aca="1" ref="CR23" ca="1">IF($B23="","",IF(ISBLANK(INDIRECT("R12.ServiciosApoyo!D"&amp;SUM(18,38*4,4))),"",INDIRECT("R12.ServiciosApoyo!D"&amp;SUM(18,38*4,4))))</f>
        <v>Falla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Acción de gobierno</v>
      </c>
      <c r="D24" s="98" t="str" cm="1">
        <f t="array" ref="D24">IFERROR(INDEX('03.Muestra'!$F$8:$F$42,SMALL(IF("Página Web"='03.Muestra'!$D$8:$D$42,ROW('03.Muestra'!$F$8:$F$42)-MIN(ROW('03.Muestra'!$D$8:$D$42))+1,""),ROW()-19)),"")</f>
        <v>https://www.comunidad.madrid/gobierno</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Pasa</v>
      </c>
      <c r="AP24" s="215" t="str" cm="1">
        <f t="array" aca="1" ref="AP24" ca="1">IF($B24="","",IF(ISBLANK(INDIRECT("R9.Web!D"&amp;SUM(18,38*6,5))),"",INDIRECT("R9.Web!D"&amp;SUM(18,38*6,5))))</f>
        <v>Pasa</v>
      </c>
      <c r="AQ24" s="215" t="str" cm="1">
        <f t="array" aca="1" ref="AQ24" ca="1">IF($B24="","",IF(ISBLANK(INDIRECT("R9.Web!D"&amp;SUM(18,38*7,5))),"",INDIRECT("R9.Web!D"&amp;SUM(18,38*7,5))))</f>
        <v>Falla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N/A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Pasa</v>
      </c>
      <c r="AX24" s="215" t="str" cm="1">
        <f t="array" aca="1" ref="AX24" ca="1">IF($B24="","",IF(ISBLANK(INDIRECT("R9.Web!D"&amp;SUM(18,38*14,5))),"",INDIRECT("R9.Web!D"&amp;SUM(18,38*14,5))))</f>
        <v>N/A</v>
      </c>
      <c r="AY24" s="215" t="str" cm="1">
        <f t="array" aca="1" ref="AY24" ca="1">IF($B24="","",IF(ISBLANK(INDIRECT("R9.Web!D"&amp;SUM(18,38*15,5))),"",INDIRECT("R9.Web!D"&amp;SUM(18,38*15,5))))</f>
        <v>Falla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Pasa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Falla</v>
      </c>
      <c r="BM24" s="215" t="str" cm="1">
        <f t="array" aca="1" ref="BM24" ca="1">IF($B24="","",IF(ISBLANK(INDIRECT("R9.Web!D"&amp;SUM(18,38*29,5))),"",INDIRECT("R9.Web!D"&amp;SUM(18,38*29,5))))</f>
        <v>N/A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Pasa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Pasa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N/A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Falla</v>
      </c>
      <c r="CE24" s="215" t="str" cm="1">
        <f t="array" aca="1" ref="CE24" ca="1">IF($B24="","",IF(ISBLANK(INDIRECT("R9.Web!D"&amp;SUM(18,38*47,5))),"",INDIRECT("R9.Web!D"&amp;SUM(18,38*47,5))))</f>
        <v>Falla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Pasa</v>
      </c>
      <c r="CR24" s="215" t="str" cm="1">
        <f t="array" aca="1" ref="CR24" ca="1">IF($B24="","",IF(ISBLANK(INDIRECT("R12.ServiciosApoyo!D"&amp;SUM(18,38*4,5))),"",INDIRECT("R12.ServiciosApoyo!D"&amp;SUM(18,38*4,5))))</f>
        <v>Falla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Video</v>
      </c>
      <c r="D25" s="98" t="str" cm="1">
        <f t="array" ref="D25">IFERROR(INDEX('03.Muestra'!$F$8:$F$42,SMALL(IF("Página Web"='03.Muestra'!$D$8:$D$42,ROW('03.Muestra'!$F$8:$F$42)-MIN(ROW('03.Muestra'!$D$8:$D$42))+1,""),ROW()-19)),"")</f>
        <v>https://www.comunidad.madrid/noticias/2023/12/18/diaz-ayuso-reconoce-35-personas-han-realizado-actuaciones-extraordinarias-ayuda-servicio-metro-este-ano-representan-valores-madrid</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Pasa</v>
      </c>
      <c r="AB25" s="215" t="str" cm="1">
        <f t="array" aca="1" ref="AB25" ca="1">IF($B25="","",IF(ISBLANK(INDIRECT("R7.Video!D"&amp;SUM(18,38*1,6))),"",INDIRECT("R7.Video!D"&amp;SUM(18,38*1,6))))</f>
        <v>Pasa</v>
      </c>
      <c r="AC25" s="215" t="str" cm="1">
        <f t="array" aca="1" ref="AC25" ca="1">IF($B25="","",IF(ISBLANK(INDIRECT("R7.Video!D"&amp;SUM(18,38*2,6))),"",INDIRECT("R7.Video!D"&amp;SUM(18,38*2,6))))</f>
        <v>Pasa</v>
      </c>
      <c r="AD25" s="215" t="str" cm="1">
        <f t="array" aca="1" ref="AD25" ca="1">IF($B25="","",IF(ISBLANK(INDIRECT("R7.Video!D"&amp;SUM(18,38*3,6))),"",INDIRECT("R7.Video!D"&amp;SUM(18,38*3,6))))</f>
        <v>Pasa</v>
      </c>
      <c r="AE25" s="215" t="str" cm="1">
        <f t="array" aca="1" ref="AE25" ca="1">IF($B25="","",IF(ISBLANK(INDIRECT("R7.Video!D"&amp;SUM(18,38*4,6))),"",INDIRECT("R7.Video!D"&amp;SUM(18,38*4,6))))</f>
        <v>Pasa</v>
      </c>
      <c r="AF25" s="215" t="str" cm="1">
        <f t="array" aca="1" ref="AF25" ca="1">IF($B25="","",IF(ISBLANK(INDIRECT("R7.Video!D"&amp;SUM(18,38*5,6))),"",INDIRECT("R7.Video!D"&amp;SUM(18,38*5,6))))</f>
        <v>Pasa</v>
      </c>
      <c r="AG25" s="215" t="str" cm="1">
        <f t="array" aca="1" ref="AG25" ca="1">IF($B25="","",IF(ISBLANK(INDIRECT("R7.Video!D"&amp;SUM(18,38*6,6))),"",INDIRECT("R7.Video!D"&amp;SUM(18,38*6,6))))</f>
        <v>Pasa</v>
      </c>
      <c r="AH25" s="215" t="str" cm="1">
        <f t="array" aca="1" ref="AH25" ca="1">IF($B25="","",IF(ISBLANK(INDIRECT("R7.Video!D"&amp;SUM(18,38*7,6))),"",INDIRECT("R7.Video!D"&amp;SUM(18,38*7,6))))</f>
        <v>Pasa</v>
      </c>
      <c r="AI25" s="215" t="str" cm="1">
        <f t="array" aca="1" ref="AI25" ca="1">IF($B25="","",IF(ISBLANK(INDIRECT("R7.Video!D"&amp;SUM(18,38*8,6))),"",INDIRECT("R7.Video!D"&amp;SUM(18,38*8,6))))</f>
        <v>Falla</v>
      </c>
      <c r="AJ25" s="215" t="str" cm="1">
        <f t="array" aca="1" ref="AJ25" ca="1">IF($B25="","",IF(ISBLANK(INDIRECT("R9.Web!D"&amp;SUM(18,38*0,6))),"",INDIRECT("R9.Web!D"&amp;SUM(18,38*0,6))))</f>
        <v>Pasa</v>
      </c>
      <c r="AK25" s="215" t="str" cm="1">
        <f t="array" aca="1" ref="AK25" ca="1">IF($B25="","",IF(ISBLANK(INDIRECT("R9.Web!D"&amp;SUM(18,38*1,6))),"",INDIRECT("R9.Web!D"&amp;SUM(18,38*1,6))))</f>
        <v>Pasa</v>
      </c>
      <c r="AL25" s="215" t="str" cm="1">
        <f t="array" aca="1" ref="AL25" ca="1">IF($B25="","",IF(ISBLANK(INDIRECT("R9.Web!D"&amp;SUM(18,38*2,6))),"",INDIRECT("R9.Web!D"&amp;SUM(18,38*2,6))))</f>
        <v>Pasa</v>
      </c>
      <c r="AM25" s="215" t="str" cm="1">
        <f t="array" aca="1" ref="AM25" ca="1">IF($B25="","",IF(ISBLANK(INDIRECT("R9.Web!D"&amp;SUM(18,38*3,6))),"",INDIRECT("R9.Web!D"&amp;SUM(18,38*3,6))))</f>
        <v>Pasa</v>
      </c>
      <c r="AN25" s="215" t="str" cm="1">
        <f t="array" aca="1" ref="AN25" ca="1">IF($B25="","",IF(ISBLANK(INDIRECT("R9.Web!D"&amp;SUM(18,38*4,6))),"",INDIRECT("R9.Web!D"&amp;SUM(18,38*4,6))))</f>
        <v>Pasa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Falla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N/A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Pasa</v>
      </c>
      <c r="AX25" s="215" t="str" cm="1">
        <f t="array" aca="1" ref="AX25" ca="1">IF($B25="","",IF(ISBLANK(INDIRECT("R9.Web!D"&amp;SUM(18,38*14,6))),"",INDIRECT("R9.Web!D"&amp;SUM(18,38*14,6))))</f>
        <v>N/A</v>
      </c>
      <c r="AY25" s="215" t="str" cm="1">
        <f t="array" aca="1" ref="AY25" ca="1">IF($B25="","",IF(ISBLANK(INDIRECT("R9.Web!D"&amp;SUM(18,38*15,6))),"",INDIRECT("R9.Web!D"&amp;SUM(18,38*15,6))))</f>
        <v>Falla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Pasa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N/A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Pasa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Pasa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N/A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Pasa</v>
      </c>
      <c r="CR25" s="215" t="str" cm="1">
        <f t="array" aca="1" ref="CR25" ca="1">IF($B25="","",IF(ISBLANK(INDIRECT("R12.ServiciosApoyo!D"&amp;SUM(18,38*4,6))),"",INDIRECT("R12.ServiciosApoyo!D"&amp;SUM(18,38*4,6))))</f>
        <v>Falla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Contacto</v>
      </c>
      <c r="D26" s="98" t="str" cm="1">
        <f t="array" ref="D26">IFERROR(INDEX('03.Muestra'!$F$8:$F$42,SMALL(IF("Página Web"='03.Muestra'!$D$8:$D$42,ROW('03.Muestra'!$F$8:$F$42)-MIN(ROW('03.Muestra'!$D$8:$D$42))+1,""),ROW()-19)),"")</f>
        <v>https://www.comunidad.madrid/servicios/atencion-ciudadano</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Pasa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Pasa</v>
      </c>
      <c r="AP26" s="215" t="str" cm="1">
        <f t="array" aca="1" ref="AP26" ca="1">IF($B26="","",IF(ISBLANK(INDIRECT("R9.Web!D"&amp;SUM(18,38*6,7))),"",INDIRECT("R9.Web!D"&amp;SUM(18,38*6,7))))</f>
        <v>Pasa</v>
      </c>
      <c r="AQ26" s="215" t="str" cm="1">
        <f t="array" aca="1" ref="AQ26" ca="1">IF($B26="","",IF(ISBLANK(INDIRECT("R9.Web!D"&amp;SUM(18,38*7,7))),"",INDIRECT("R9.Web!D"&amp;SUM(18,38*7,7))))</f>
        <v>Falla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N/A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Pasa</v>
      </c>
      <c r="AX26" s="215" t="str" cm="1">
        <f t="array" aca="1" ref="AX26" ca="1">IF($B26="","",IF(ISBLANK(INDIRECT("R9.Web!D"&amp;SUM(18,38*14,7))),"",INDIRECT("R9.Web!D"&amp;SUM(18,38*14,7))))</f>
        <v>N/A</v>
      </c>
      <c r="AY26" s="215" t="str" cm="1">
        <f t="array" aca="1" ref="AY26" ca="1">IF($B26="","",IF(ISBLANK(INDIRECT("R9.Web!D"&amp;SUM(18,38*15,7))),"",INDIRECT("R9.Web!D"&amp;SUM(18,38*15,7))))</f>
        <v>Falla</v>
      </c>
      <c r="AZ26" s="215" t="str" cm="1">
        <f t="array" aca="1" ref="AZ26" ca="1">IF($B26="","",IF(ISBLANK(INDIRECT("R9.Web!D"&amp;SUM(18,38*16,7))),"",INDIRECT("R9.Web!D"&amp;SUM(18,38*16,7))))</f>
        <v>Pasa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Pasa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N/A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Pasa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Pasa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N/A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Falla</v>
      </c>
      <c r="CE26" s="215" t="str" cm="1">
        <f t="array" aca="1" ref="CE26" ca="1">IF($B26="","",IF(ISBLANK(INDIRECT("R9.Web!D"&amp;SUM(18,38*47,7))),"",INDIRECT("R9.Web!D"&amp;SUM(18,38*47,7))))</f>
        <v>Falla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Pasa</v>
      </c>
      <c r="CR26" s="215" t="str" cm="1">
        <f t="array" aca="1" ref="CR26" ca="1">IF($B26="","",IF(ISBLANK(INDIRECT("R12.ServiciosApoyo!D"&amp;SUM(18,38*4,7))),"",INDIRECT("R12.ServiciosApoyo!D"&amp;SUM(18,38*4,7))))</f>
        <v>Falla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Aviso Legal</v>
      </c>
      <c r="D27" s="98" t="str" cm="1">
        <f t="array" ref="D27">IFERROR(INDEX('03.Muestra'!$F$8:$F$42,SMALL(IF("Página Web"='03.Muestra'!$D$8:$D$42,ROW('03.Muestra'!$F$8:$F$42)-MIN(ROW('03.Muestra'!$D$8:$D$42))+1,""),ROW()-19)),"")</f>
        <v>https://www.comunidad.madrid/servicios/informacion-atencion-ciudadano/aviso-legal-privacidad</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Pasa</v>
      </c>
      <c r="AP27" s="215" t="str" cm="1">
        <f t="array" aca="1" ref="AP27" ca="1">IF($B27="","",IF(ISBLANK(INDIRECT("R9.Web!D"&amp;SUM(18,38*6,8))),"",INDIRECT("R9.Web!D"&amp;SUM(18,38*6,8))))</f>
        <v>Pasa</v>
      </c>
      <c r="AQ27" s="215" t="str" cm="1">
        <f t="array" aca="1" ref="AQ27" ca="1">IF($B27="","",IF(ISBLANK(INDIRECT("R9.Web!D"&amp;SUM(18,38*7,8))),"",INDIRECT("R9.Web!D"&amp;SUM(18,38*7,8))))</f>
        <v>Falla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N/A</v>
      </c>
      <c r="AU27" s="215" t="str" cm="1">
        <f t="array" aca="1" ref="AU27" ca="1">IF($B27="","",IF(ISBLANK(INDIRECT("R9.Web!D"&amp;SUM(18,38*11,8))),"",INDIRECT("R9.Web!D"&amp;SUM(18,38*11,8))))</f>
        <v>Pasa</v>
      </c>
      <c r="AV27" s="215" t="str" cm="1">
        <f t="array" aca="1" ref="AV27" ca="1">IF($B27="","",IF(ISBLANK(INDIRECT("R9.Web!D"&amp;SUM(18,38*12,8))),"",INDIRECT("R9.Web!D"&amp;SUM(18,38*12,8))))</f>
        <v>Pasa</v>
      </c>
      <c r="AW27" s="215" t="str" cm="1">
        <f t="array" aca="1" ref="AW27" ca="1">IF($B27="","",IF(ISBLANK(INDIRECT("R9.Web!D"&amp;SUM(18,38*13,8))),"",INDIRECT("R9.Web!D"&amp;SUM(18,38*13,8))))</f>
        <v>Pasa</v>
      </c>
      <c r="AX27" s="215" t="str" cm="1">
        <f t="array" aca="1" ref="AX27" ca="1">IF($B27="","",IF(ISBLANK(INDIRECT("R9.Web!D"&amp;SUM(18,38*14,8))),"",INDIRECT("R9.Web!D"&amp;SUM(18,38*14,8))))</f>
        <v>N/A</v>
      </c>
      <c r="AY27" s="215" t="str" cm="1">
        <f t="array" aca="1" ref="AY27" ca="1">IF($B27="","",IF(ISBLANK(INDIRECT("R9.Web!D"&amp;SUM(18,38*15,8))),"",INDIRECT("R9.Web!D"&amp;SUM(18,38*15,8))))</f>
        <v>Falla</v>
      </c>
      <c r="AZ27" s="215" t="str" cm="1">
        <f t="array" aca="1" ref="AZ27" ca="1">IF($B27="","",IF(ISBLANK(INDIRECT("R9.Web!D"&amp;SUM(18,38*16,8))),"",INDIRECT("R9.Web!D"&amp;SUM(18,38*16,8))))</f>
        <v>Pasa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Pasa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N/A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Pasa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Pasa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N/A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Pasa</v>
      </c>
      <c r="CR27" s="215" t="str" cm="1">
        <f t="array" aca="1" ref="CR27" ca="1">IF($B27="","",IF(ISBLANK(INDIRECT("R12.ServiciosApoyo!D"&amp;SUM(18,38*4,8))),"",INDIRECT("R12.ServiciosApoyo!D"&amp;SUM(18,38*4,8))))</f>
        <v>Falla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Mapa web</v>
      </c>
      <c r="D28" s="98" t="str" cm="1">
        <f t="array" ref="D28">IFERROR(INDEX('03.Muestra'!$F$8:$F$42,SMALL(IF("Página Web"='03.Muestra'!$D$8:$D$42,ROW('03.Muestra'!$F$8:$F$42)-MIN(ROW('03.Muestra'!$D$8:$D$42))+1,""),ROW()-19)),"")</f>
        <v>https://www.comunidad.madrid/sitemap</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Pasa</v>
      </c>
      <c r="AQ28" s="215" t="str" cm="1">
        <f t="array" aca="1" ref="AQ28" ca="1">IF($B28="","",IF(ISBLANK(INDIRECT("R9.Web!D"&amp;SUM(18,38*7,9))),"",INDIRECT("R9.Web!D"&amp;SUM(18,38*7,9))))</f>
        <v>Falla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N/A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Pasa</v>
      </c>
      <c r="AX28" s="215" t="str" cm="1">
        <f t="array" aca="1" ref="AX28" ca="1">IF($B28="","",IF(ISBLANK(INDIRECT("R9.Web!D"&amp;SUM(18,38*14,9))),"",INDIRECT("R9.Web!D"&amp;SUM(18,38*14,9))))</f>
        <v>N/A</v>
      </c>
      <c r="AY28" s="215" t="str" cm="1">
        <f t="array" aca="1" ref="AY28" ca="1">IF($B28="","",IF(ISBLANK(INDIRECT("R9.Web!D"&amp;SUM(18,38*15,9))),"",INDIRECT("R9.Web!D"&amp;SUM(18,38*15,9))))</f>
        <v>Falla</v>
      </c>
      <c r="AZ28" s="215" t="str" cm="1">
        <f t="array" aca="1" ref="AZ28" ca="1">IF($B28="","",IF(ISBLANK(INDIRECT("R9.Web!D"&amp;SUM(18,38*16,9))),"",INDIRECT("R9.Web!D"&amp;SUM(18,38*16,9))))</f>
        <v>Pasa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Pasa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N/A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Pasa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Pasa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N/A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Pasa</v>
      </c>
      <c r="CR28" s="215" t="str" cm="1">
        <f t="array" aca="1" ref="CR28" ca="1">IF($B28="","",IF(ISBLANK(INDIRECT("R12.ServiciosApoyo!D"&amp;SUM(18,38*4,9))),"",INDIRECT("R12.ServiciosApoyo!D"&amp;SUM(18,38*4,9))))</f>
        <v>Falla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Accesibilidad</v>
      </c>
      <c r="D29" s="98" t="str" cm="1">
        <f t="array" ref="D29">IFERROR(INDEX('03.Muestra'!$F$8:$F$42,SMALL(IF("Página Web"='03.Muestra'!$D$8:$D$42,ROW('03.Muestra'!$F$8:$F$42)-MIN(ROW('03.Muestra'!$D$8:$D$42))+1,""),ROW()-19)),"")</f>
        <v>https://www.comunidad.madrid/servicios/informacion-atencion-ciudadano/accesibilidad-web</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Pasa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Pasa</v>
      </c>
      <c r="AP29" s="215" t="str" cm="1">
        <f t="array" aca="1" ref="AP29" ca="1">IF($B29="","",IF(ISBLANK(INDIRECT("R9.Web!D"&amp;SUM(18,38*6,10))),"",INDIRECT("R9.Web!D"&amp;SUM(18,38*6,10))))</f>
        <v>Pasa</v>
      </c>
      <c r="AQ29" s="215" t="str" cm="1">
        <f t="array" aca="1" ref="AQ29" ca="1">IF($B29="","",IF(ISBLANK(INDIRECT("R9.Web!D"&amp;SUM(18,38*7,10))),"",INDIRECT("R9.Web!D"&amp;SUM(18,38*7,10))))</f>
        <v>Falla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N/A</v>
      </c>
      <c r="AU29" s="215" t="str" cm="1">
        <f t="array" aca="1" ref="AU29" ca="1">IF($B29="","",IF(ISBLANK(INDIRECT("R9.Web!D"&amp;SUM(18,38*11,10))),"",INDIRECT("R9.Web!D"&amp;SUM(18,38*11,10))))</f>
        <v>Pasa</v>
      </c>
      <c r="AV29" s="215" t="str" cm="1">
        <f t="array" aca="1" ref="AV29" ca="1">IF($B29="","",IF(ISBLANK(INDIRECT("R9.Web!D"&amp;SUM(18,38*12,10))),"",INDIRECT("R9.Web!D"&amp;SUM(18,38*12,10))))</f>
        <v>Pasa</v>
      </c>
      <c r="AW29" s="215" t="str" cm="1">
        <f t="array" aca="1" ref="AW29" ca="1">IF($B29="","",IF(ISBLANK(INDIRECT("R9.Web!D"&amp;SUM(18,38*13,10))),"",INDIRECT("R9.Web!D"&amp;SUM(18,38*13,10))))</f>
        <v>Pasa</v>
      </c>
      <c r="AX29" s="215" t="str" cm="1">
        <f t="array" aca="1" ref="AX29" ca="1">IF($B29="","",IF(ISBLANK(INDIRECT("R9.Web!D"&amp;SUM(18,38*14,10))),"",INDIRECT("R9.Web!D"&amp;SUM(18,38*14,10))))</f>
        <v>N/A</v>
      </c>
      <c r="AY29" s="215" t="str" cm="1">
        <f t="array" aca="1" ref="AY29" ca="1">IF($B29="","",IF(ISBLANK(INDIRECT("R9.Web!D"&amp;SUM(18,38*15,10))),"",INDIRECT("R9.Web!D"&amp;SUM(18,38*15,10))))</f>
        <v>Falla</v>
      </c>
      <c r="AZ29" s="215" t="str" cm="1">
        <f t="array" aca="1" ref="AZ29" ca="1">IF($B29="","",IF(ISBLANK(INDIRECT("R9.Web!D"&amp;SUM(18,38*16,10))),"",INDIRECT("R9.Web!D"&amp;SUM(18,38*16,10))))</f>
        <v>Pasa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Pasa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N/A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Pasa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Pasa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N/A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Pasa</v>
      </c>
      <c r="CR29" s="215" t="str" cm="1">
        <f t="array" aca="1" ref="CR29" ca="1">IF($B29="","",IF(ISBLANK(INDIRECT("R12.ServiciosApoyo!D"&amp;SUM(18,38*4,10))),"",INDIRECT("R12.ServiciosApoyo!D"&amp;SUM(18,38*4,10))))</f>
        <v>Falla</v>
      </c>
      <c r="CU29" s="100"/>
      <c r="CV29" s="29"/>
      <c r="CW29" s="29"/>
      <c r="CX29" s="29"/>
    </row>
    <row r="30" spans="2:102" ht="20.5">
      <c r="B30" s="181" t="str" cm="1">
        <f t="array" ref="B30">IFERROR(INDEX('03.Muestra'!$B$8:$B$42,SMALL(IF("Página Web"='03.Muestra'!$D$8:$D$42,ROW('03.Muestra'!$B$8:$B$42)-MIN(ROW('03.Muestra'!$D$8:$D$42))+1,""),ROW()-19)),"")</f>
        <v/>
      </c>
      <c r="C30" s="97" t="str" cm="1">
        <f t="array" ref="C30">IFERROR(INDEX('03.Muestra'!$C$8:$C$42,SMALL(IF("Página Web"='03.Muestra'!$D$8:$D$42,ROW('03.Muestra'!$C$8:$C$42)-MIN(ROW('03.Muestra'!$D$8:$D$42))+1,""),ROW()-19)),"")</f>
        <v/>
      </c>
      <c r="D30" s="98" t="str" cm="1">
        <f t="array" ref="D30">IFERROR(INDEX('03.Muestra'!$F$8:$F$42,SMALL(IF("Página Web"='03.Muestra'!$D$8:$D$42,ROW('03.Muestra'!$F$8:$F$42)-MIN(ROW('03.Muestra'!$D$8:$D$42))+1,""),ROW()-19)),"")</f>
        <v/>
      </c>
      <c r="E30" s="215" t="str" cm="1">
        <f t="array" aca="1" ref="E30" ca="1">IF($B30="","",IF(ISBLANK(INDIRECT("R5.Genéricos!D"&amp;SUM(18,38*0,11))),"",INDIRECT("R5.Genéricos!D"&amp;SUM(18,38*0,11))))</f>
        <v/>
      </c>
      <c r="F30" s="215" t="str" cm="1">
        <f t="array" aca="1" ref="F30" ca="1">IF($B30="","",IF(ISBLANK(INDIRECT("R5.Genéricos!D"&amp;SUM(18,38*1,11))),"",INDIRECT("R5.Genéricos!D"&amp;SUM(18,38*1,11))))</f>
        <v/>
      </c>
      <c r="G30" s="215" t="str" cm="1">
        <f t="array" aca="1" ref="G30" ca="1">IF($B30="","",IF(ISBLANK(INDIRECT("R5.Genéricos!D"&amp;SUM(18,38*2,11))),"",INDIRECT("R5.Genéricos!D"&amp;SUM(18,38*2,11))))</f>
        <v/>
      </c>
      <c r="H30" s="215" t="str" cm="1">
        <f t="array" aca="1" ref="H30" ca="1">IF($B30="","",IF(ISBLANK(INDIRECT("R6.Voz!D"&amp;SUM(18,38*0,11))),"",INDIRECT("R6.Voz!D"&amp;SUM(18,38*0,11))))</f>
        <v/>
      </c>
      <c r="I30" s="215" t="str" cm="1">
        <f t="array" aca="1" ref="I30" ca="1">IF($B30="","",IF(ISBLANK(INDIRECT("R6.Voz!D"&amp;SUM(18,38*1,11))),"",INDIRECT("R6.Voz!D"&amp;SUM(18,38*1,11))))</f>
        <v/>
      </c>
      <c r="J30" s="215" t="str" cm="1">
        <f t="array" aca="1" ref="J30" ca="1">IF($B30="","",IF(ISBLANK(INDIRECT("R6.Voz!D"&amp;SUM(18,38*2,11))),"",INDIRECT("R6.Voz!D"&amp;SUM(18,38*2,11))))</f>
        <v/>
      </c>
      <c r="K30" s="215" t="str" cm="1">
        <f t="array" aca="1" ref="K30" ca="1">IF($B30="","",IF(ISBLANK(INDIRECT("R6.Voz!D"&amp;SUM(18,38*3,11))),"",INDIRECT("R6.Voz!D"&amp;SUM(18,38*3,11))))</f>
        <v/>
      </c>
      <c r="L30" s="215" t="str" cm="1">
        <f t="array" aca="1" ref="L30" ca="1">IF($B30="","",IF(ISBLANK(INDIRECT("R6.Voz!D"&amp;SUM(18,38*4,11))),"",INDIRECT("R6.Voz!D"&amp;SUM(18,38*4,11))))</f>
        <v/>
      </c>
      <c r="M30" s="215" t="str" cm="1">
        <f t="array" aca="1" ref="M30" ca="1">IF($B30="","",IF(ISBLANK(INDIRECT("R6.Voz!D"&amp;SUM(18,38*5,11))),"",INDIRECT("R6.Voz!D"&amp;SUM(18,38*5,11))))</f>
        <v/>
      </c>
      <c r="N30" s="215" t="str" cm="1">
        <f t="array" aca="1" ref="N30" ca="1">IF($B30="","",IF(ISBLANK(INDIRECT("R6.Voz!D"&amp;SUM(18,38*6,11))),"",INDIRECT("R6.Voz!D"&amp;SUM(18,38*6,11))))</f>
        <v/>
      </c>
      <c r="O30" s="215" t="str" cm="1">
        <f t="array" aca="1" ref="O30" ca="1">IF($B30="","",IF(ISBLANK(INDIRECT("R6.Voz!D"&amp;SUM(18,38*7,11))),"",INDIRECT("R6.Voz!D"&amp;SUM(18,38*7,11))))</f>
        <v/>
      </c>
      <c r="P30" s="215" t="str" cm="1">
        <f t="array" aca="1" ref="P30" ca="1">IF($B30="","",IF(ISBLANK(INDIRECT("R6.Voz!D"&amp;SUM(18,38*8,11))),"",INDIRECT("R6.Voz!D"&amp;SUM(18,38*8,11))))</f>
        <v/>
      </c>
      <c r="Q30" s="215" t="str" cm="1">
        <f t="array" aca="1" ref="Q30" ca="1">IF($B30="","",IF(ISBLANK(INDIRECT("R6.Voz!D"&amp;SUM(18,38*9,11))),"",INDIRECT("R6.Voz!D"&amp;SUM(18,38*9,11))))</f>
        <v/>
      </c>
      <c r="R30" s="215" t="str" cm="1">
        <f t="array" aca="1" ref="R30" ca="1">IF($B30="","",IF(ISBLANK(INDIRECT("R6.Voz!D"&amp;SUM(18,38*10,11))),"",INDIRECT("R6.Voz!D"&amp;SUM(18,38*10,11))))</f>
        <v/>
      </c>
      <c r="S30" s="215" t="str" cm="1">
        <f t="array" aca="1" ref="S30" ca="1">IF($B30="","",IF(ISBLANK(INDIRECT("R6.Voz!D"&amp;SUM(18,38*11,11))),"",INDIRECT("R6.Voz!D"&amp;SUM(18,38*11,11))))</f>
        <v/>
      </c>
      <c r="T30" s="215" t="str" cm="1">
        <f t="array" aca="1" ref="T30" ca="1">IF($B30="","",IF(ISBLANK(INDIRECT("R6.Voz!D"&amp;SUM(18,38*12,11))),"",INDIRECT("R6.Voz!D"&amp;SUM(18,38*12,11))))</f>
        <v/>
      </c>
      <c r="U30" s="215" t="str" cm="1">
        <f t="array" aca="1" ref="U30" ca="1">IF($B30="","",IF(ISBLANK(INDIRECT("R6.Voz!D"&amp;SUM(18,38*13,11))),"",INDIRECT("R6.Voz!D"&amp;SUM(18,38*13,11))))</f>
        <v/>
      </c>
      <c r="V30" s="215" t="str" cm="1">
        <f t="array" aca="1" ref="V30" ca="1">IF($B30="","",IF(ISBLANK(INDIRECT("R6.Voz!D"&amp;SUM(18,38*14,11))),"",INDIRECT("R6.Voz!D"&amp;SUM(18,38*14,11))))</f>
        <v/>
      </c>
      <c r="W30" s="215" t="str" cm="1">
        <f t="array" aca="1" ref="W30" ca="1">IF($B30="","",IF(ISBLANK(INDIRECT("R6.Voz!D"&amp;SUM(18,38*15,11))),"",INDIRECT("R6.Voz!D"&amp;SUM(18,38*15,11))))</f>
        <v/>
      </c>
      <c r="X30" s="215" t="str" cm="1">
        <f t="array" aca="1" ref="X30" ca="1">IF($B30="","",IF(ISBLANK(INDIRECT("R6.Voz!D"&amp;SUM(18,38*16,11))),"",INDIRECT("R6.Voz!D"&amp;SUM(18,38*16,11))))</f>
        <v/>
      </c>
      <c r="Y30" s="215" t="str" cm="1">
        <f t="array" aca="1" ref="Y30" ca="1">IF($B30="","",IF(ISBLANK(INDIRECT("R6.Voz!D"&amp;SUM(18,38*17,11))),"",INDIRECT("R6.Voz!D"&amp;SUM(18,38*17,11))))</f>
        <v/>
      </c>
      <c r="Z30" s="215" t="str" cm="1">
        <f t="array" aca="1" ref="Z30" ca="1">IF($B30="","",IF(ISBLANK(INDIRECT("R6.Voz!D"&amp;SUM(18,38*18,11))),"",INDIRECT("R6.Voz!D"&amp;SUM(18,38*18,11))))</f>
        <v/>
      </c>
      <c r="AA30" s="215" t="str" cm="1">
        <f t="array" aca="1" ref="AA30" ca="1">IF($B30="","",IF(ISBLANK(INDIRECT("R7.Video!D"&amp;SUM(18,38*0,11))),"",INDIRECT("R7.Video!D"&amp;SUM(18,38*0,11))))</f>
        <v/>
      </c>
      <c r="AB30" s="215" t="str" cm="1">
        <f t="array" aca="1" ref="AB30" ca="1">IF($B30="","",IF(ISBLANK(INDIRECT("R7.Video!D"&amp;SUM(18,38*1,11))),"",INDIRECT("R7.Video!D"&amp;SUM(18,38*1,11))))</f>
        <v/>
      </c>
      <c r="AC30" s="215" t="str" cm="1">
        <f t="array" aca="1" ref="AC30" ca="1">IF($B30="","",IF(ISBLANK(INDIRECT("R7.Video!D"&amp;SUM(18,38*2,11))),"",INDIRECT("R7.Video!D"&amp;SUM(18,38*2,11))))</f>
        <v/>
      </c>
      <c r="AD30" s="215" t="str" cm="1">
        <f t="array" aca="1" ref="AD30" ca="1">IF($B30="","",IF(ISBLANK(INDIRECT("R7.Video!D"&amp;SUM(18,38*3,11))),"",INDIRECT("R7.Video!D"&amp;SUM(18,38*3,11))))</f>
        <v/>
      </c>
      <c r="AE30" s="215" t="str" cm="1">
        <f t="array" aca="1" ref="AE30" ca="1">IF($B30="","",IF(ISBLANK(INDIRECT("R7.Video!D"&amp;SUM(18,38*4,11))),"",INDIRECT("R7.Video!D"&amp;SUM(18,38*4,11))))</f>
        <v/>
      </c>
      <c r="AF30" s="215" t="str" cm="1">
        <f t="array" aca="1" ref="AF30" ca="1">IF($B30="","",IF(ISBLANK(INDIRECT("R7.Video!D"&amp;SUM(18,38*5,11))),"",INDIRECT("R7.Video!D"&amp;SUM(18,38*5,11))))</f>
        <v/>
      </c>
      <c r="AG30" s="215" t="str" cm="1">
        <f t="array" aca="1" ref="AG30" ca="1">IF($B30="","",IF(ISBLANK(INDIRECT("R7.Video!D"&amp;SUM(18,38*6,11))),"",INDIRECT("R7.Video!D"&amp;SUM(18,38*6,11))))</f>
        <v/>
      </c>
      <c r="AH30" s="215" t="str" cm="1">
        <f t="array" aca="1" ref="AH30" ca="1">IF($B30="","",IF(ISBLANK(INDIRECT("R7.Video!D"&amp;SUM(18,38*7,11))),"",INDIRECT("R7.Video!D"&amp;SUM(18,38*7,11))))</f>
        <v/>
      </c>
      <c r="AI30" s="215" t="str" cm="1">
        <f t="array" aca="1" ref="AI30" ca="1">IF($B30="","",IF(ISBLANK(INDIRECT("R7.Video!D"&amp;SUM(18,38*8,11))),"",INDIRECT("R7.Video!D"&amp;SUM(18,38*8,11))))</f>
        <v/>
      </c>
      <c r="AJ30" s="215" t="str" cm="1">
        <f t="array" aca="1" ref="AJ30" ca="1">IF($B30="","",IF(ISBLANK(INDIRECT("R9.Web!D"&amp;SUM(18,38*0,11))),"",INDIRECT("R9.Web!D"&amp;SUM(18,38*0,11))))</f>
        <v/>
      </c>
      <c r="AK30" s="215" t="str" cm="1">
        <f t="array" aca="1" ref="AK30" ca="1">IF($B30="","",IF(ISBLANK(INDIRECT("R9.Web!D"&amp;SUM(18,38*1,11))),"",INDIRECT("R9.Web!D"&amp;SUM(18,38*1,11))))</f>
        <v/>
      </c>
      <c r="AL30" s="215" t="str" cm="1">
        <f t="array" aca="1" ref="AL30" ca="1">IF($B30="","",IF(ISBLANK(INDIRECT("R9.Web!D"&amp;SUM(18,38*2,11))),"",INDIRECT("R9.Web!D"&amp;SUM(18,38*2,11))))</f>
        <v/>
      </c>
      <c r="AM30" s="215" t="str" cm="1">
        <f t="array" aca="1" ref="AM30" ca="1">IF($B30="","",IF(ISBLANK(INDIRECT("R9.Web!D"&amp;SUM(18,38*3,11))),"",INDIRECT("R9.Web!D"&amp;SUM(18,38*3,11))))</f>
        <v/>
      </c>
      <c r="AN30" s="215" t="str" cm="1">
        <f t="array" aca="1" ref="AN30" ca="1">IF($B30="","",IF(ISBLANK(INDIRECT("R9.Web!D"&amp;SUM(18,38*4,11))),"",INDIRECT("R9.Web!D"&amp;SUM(18,38*4,11))))</f>
        <v/>
      </c>
      <c r="AO30" s="215" t="str" cm="1">
        <f t="array" aca="1" ref="AO30" ca="1">IF($B30="","",IF(ISBLANK(INDIRECT("R9.Web!D"&amp;SUM(18,38*5,11))),"",INDIRECT("R9.Web!D"&amp;SUM(18,38*5,11))))</f>
        <v/>
      </c>
      <c r="AP30" s="215" t="str" cm="1">
        <f t="array" aca="1" ref="AP30" ca="1">IF($B30="","",IF(ISBLANK(INDIRECT("R9.Web!D"&amp;SUM(18,38*6,11))),"",INDIRECT("R9.Web!D"&amp;SUM(18,38*6,11))))</f>
        <v/>
      </c>
      <c r="AQ30" s="215" t="str" cm="1">
        <f t="array" aca="1" ref="AQ30" ca="1">IF($B30="","",IF(ISBLANK(INDIRECT("R9.Web!D"&amp;SUM(18,38*7,11))),"",INDIRECT("R9.Web!D"&amp;SUM(18,38*7,11))))</f>
        <v/>
      </c>
      <c r="AR30" s="215" t="str" cm="1">
        <f t="array" aca="1" ref="AR30" ca="1">IF($B30="","",IF(ISBLANK(INDIRECT("R9.Web!D"&amp;SUM(18,38*8,11))),"",INDIRECT("R9.Web!D"&amp;SUM(18,38*8,11))))</f>
        <v/>
      </c>
      <c r="AS30" s="215" t="str" cm="1">
        <f t="array" aca="1" ref="AS30" ca="1">IF($B30="","",IF(ISBLANK(INDIRECT("R9.Web!D"&amp;SUM(18,38*9,11))),"",INDIRECT("R9.Web!D"&amp;SUM(18,38*9,11))))</f>
        <v/>
      </c>
      <c r="AT30" s="215" t="str" cm="1">
        <f t="array" aca="1" ref="AT30" ca="1">IF($B30="","",IF(ISBLANK(INDIRECT("R9.Web!D"&amp;SUM(18,38*10,11))),"",INDIRECT("R9.Web!D"&amp;SUM(18,38*10,11))))</f>
        <v/>
      </c>
      <c r="AU30" s="215" t="str" cm="1">
        <f t="array" aca="1" ref="AU30" ca="1">IF($B30="","",IF(ISBLANK(INDIRECT("R9.Web!D"&amp;SUM(18,38*11,11))),"",INDIRECT("R9.Web!D"&amp;SUM(18,38*11,11))))</f>
        <v/>
      </c>
      <c r="AV30" s="215" t="str" cm="1">
        <f t="array" aca="1" ref="AV30" ca="1">IF($B30="","",IF(ISBLANK(INDIRECT("R9.Web!D"&amp;SUM(18,38*12,11))),"",INDIRECT("R9.Web!D"&amp;SUM(18,38*12,11))))</f>
        <v/>
      </c>
      <c r="AW30" s="215" t="str" cm="1">
        <f t="array" aca="1" ref="AW30" ca="1">IF($B30="","",IF(ISBLANK(INDIRECT("R9.Web!D"&amp;SUM(18,38*13,11))),"",INDIRECT("R9.Web!D"&amp;SUM(18,38*13,11))))</f>
        <v/>
      </c>
      <c r="AX30" s="215" t="str" cm="1">
        <f t="array" aca="1" ref="AX30" ca="1">IF($B30="","",IF(ISBLANK(INDIRECT("R9.Web!D"&amp;SUM(18,38*14,11))),"",INDIRECT("R9.Web!D"&amp;SUM(18,38*14,11))))</f>
        <v/>
      </c>
      <c r="AY30" s="215" t="str" cm="1">
        <f t="array" aca="1" ref="AY30" ca="1">IF($B30="","",IF(ISBLANK(INDIRECT("R9.Web!D"&amp;SUM(18,38*15,11))),"",INDIRECT("R9.Web!D"&amp;SUM(18,38*15,11))))</f>
        <v/>
      </c>
      <c r="AZ30" s="215" t="str" cm="1">
        <f t="array" aca="1" ref="AZ30" ca="1">IF($B30="","",IF(ISBLANK(INDIRECT("R9.Web!D"&amp;SUM(18,38*16,11))),"",INDIRECT("R9.Web!D"&amp;SUM(18,38*16,11))))</f>
        <v/>
      </c>
      <c r="BA30" s="215" t="str" cm="1">
        <f t="array" aca="1" ref="BA30" ca="1">IF($B30="","",IF(ISBLANK(INDIRECT("R9.Web!D"&amp;SUM(18,38*17,11))),"",INDIRECT("R9.Web!D"&amp;SUM(18,38*17,11))))</f>
        <v/>
      </c>
      <c r="BB30" s="215" t="str" cm="1">
        <f t="array" aca="1" ref="BB30" ca="1">IF($B30="","",IF(ISBLANK(INDIRECT("R9.Web!D"&amp;SUM(18,38*18,11))),"",INDIRECT("R9.Web!D"&amp;SUM(18,38*18,11))))</f>
        <v/>
      </c>
      <c r="BC30" s="215" t="str" cm="1">
        <f t="array" aca="1" ref="BC30" ca="1">IF($B30="","",IF(ISBLANK(INDIRECT("R9.Web!D"&amp;SUM(18,38*19,11))),"",INDIRECT("R9.Web!D"&amp;SUM(18,38*19,11))))</f>
        <v/>
      </c>
      <c r="BD30" s="215" t="str" cm="1">
        <f t="array" aca="1" ref="BD30" ca="1">IF($B30="","",IF(ISBLANK(INDIRECT("R9.Web!D"&amp;SUM(18,38*20,11))),"",INDIRECT("R9.Web!D"&amp;SUM(18,38*20,11))))</f>
        <v/>
      </c>
      <c r="BE30" s="215" t="str" cm="1">
        <f t="array" aca="1" ref="BE30" ca="1">IF($B30="","",IF(ISBLANK(INDIRECT("R9.Web!D"&amp;SUM(18,38*21,11))),"",INDIRECT("R9.Web!D"&amp;SUM(18,38*21,11))))</f>
        <v/>
      </c>
      <c r="BF30" s="215" t="str" cm="1">
        <f t="array" aca="1" ref="BF30" ca="1">IF($B30="","",IF(ISBLANK(INDIRECT("R9.Web!D"&amp;SUM(18,38*22,11))),"",INDIRECT("R9.Web!D"&amp;SUM(18,38*22,11))))</f>
        <v/>
      </c>
      <c r="BG30" s="215" t="str" cm="1">
        <f t="array" aca="1" ref="BG30" ca="1">IF($B30="","",IF(ISBLANK(INDIRECT("R9.Web!D"&amp;SUM(18,38*23,11))),"",INDIRECT("R9.Web!D"&amp;SUM(18,38*23,11))))</f>
        <v/>
      </c>
      <c r="BH30" s="215" t="str" cm="1">
        <f t="array" aca="1" ref="BH30" ca="1">IF($B30="","",IF(ISBLANK(INDIRECT("R9.Web!D"&amp;SUM(18,38*24,11))),"",INDIRECT("R9.Web!D"&amp;SUM(18,38*24,11))))</f>
        <v/>
      </c>
      <c r="BI30" s="215" t="str" cm="1">
        <f t="array" aca="1" ref="BI30" ca="1">IF($B30="","",IF(ISBLANK(INDIRECT("R9.Web!D"&amp;SUM(18,38*25,11))),"",INDIRECT("R9.Web!D"&amp;SUM(18,38*25,11))))</f>
        <v/>
      </c>
      <c r="BJ30" s="215" t="str" cm="1">
        <f t="array" aca="1" ref="BJ30" ca="1">IF($B30="","",IF(ISBLANK(INDIRECT("R9.Web!D"&amp;SUM(18,38*26,11))),"",INDIRECT("R9.Web!D"&amp;SUM(18,38*26,11))))</f>
        <v/>
      </c>
      <c r="BK30" s="215" t="str" cm="1">
        <f t="array" aca="1" ref="BK30" ca="1">IF($B30="","",IF(ISBLANK(INDIRECT("R9.Web!D"&amp;SUM(18,38*27,11))),"",INDIRECT("R9.Web!D"&amp;SUM(18,38*27,11))))</f>
        <v/>
      </c>
      <c r="BL30" s="215" t="str" cm="1">
        <f t="array" aca="1" ref="BL30" ca="1">IF($B30="","",IF(ISBLANK(INDIRECT("R9.Web!D"&amp;SUM(18,38*28,11))),"",INDIRECT("R9.Web!D"&amp;SUM(18,38*28,11))))</f>
        <v/>
      </c>
      <c r="BM30" s="215" t="str" cm="1">
        <f t="array" aca="1" ref="BM30" ca="1">IF($B30="","",IF(ISBLANK(INDIRECT("R9.Web!D"&amp;SUM(18,38*29,11))),"",INDIRECT("R9.Web!D"&amp;SUM(18,38*29,11))))</f>
        <v/>
      </c>
      <c r="BN30" s="215" t="str" cm="1">
        <f t="array" aca="1" ref="BN30" ca="1">IF($B30="","",IF(ISBLANK(INDIRECT("R9.Web!D"&amp;SUM(18,38*30,11))),"",INDIRECT("R9.Web!D"&amp;SUM(18,38*30,11))))</f>
        <v/>
      </c>
      <c r="BO30" s="215" t="str" cm="1">
        <f t="array" aca="1" ref="BO30" ca="1">IF($B30="","",IF(ISBLANK(INDIRECT("R9.Web!D"&amp;SUM(18,38*31,11))),"",INDIRECT("R9.Web!D"&amp;SUM(18,38*31,11))))</f>
        <v/>
      </c>
      <c r="BP30" s="215" t="str" cm="1">
        <f t="array" aca="1" ref="BP30" ca="1">IF($B30="","",IF(ISBLANK(INDIRECT("R9.Web!D"&amp;SUM(18,38*32,11))),"",INDIRECT("R9.Web!D"&amp;SUM(18,38*32,11))))</f>
        <v/>
      </c>
      <c r="BQ30" s="215" t="str" cm="1">
        <f t="array" aca="1" ref="BQ30" ca="1">IF($B30="","",IF(ISBLANK(INDIRECT("R9.Web!D"&amp;SUM(18,38*33,11))),"",INDIRECT("R9.Web!D"&amp;SUM(18,38*33,11))))</f>
        <v/>
      </c>
      <c r="BR30" s="215" t="str" cm="1">
        <f t="array" aca="1" ref="BR30" ca="1">IF($B30="","",IF(ISBLANK(INDIRECT("R9.Web!D"&amp;SUM(18,38*34,11))),"",INDIRECT("R9.Web!D"&amp;SUM(18,38*34,11))))</f>
        <v/>
      </c>
      <c r="BS30" s="215" t="str" cm="1">
        <f t="array" aca="1" ref="BS30" ca="1">IF($B30="","",IF(ISBLANK(INDIRECT("R9.Web!D"&amp;SUM(18,38*35,11))),"",INDIRECT("R9.Web!D"&amp;SUM(18,38*35,11))))</f>
        <v/>
      </c>
      <c r="BT30" s="215" t="str" cm="1">
        <f t="array" aca="1" ref="BT30" ca="1">IF($B30="","",IF(ISBLANK(INDIRECT("R9.Web!D"&amp;SUM(18,38*36,11))),"",INDIRECT("R9.Web!D"&amp;SUM(18,38*36,11))))</f>
        <v/>
      </c>
      <c r="BU30" s="215" t="str" cm="1">
        <f t="array" aca="1" ref="BU30" ca="1">IF($B30="","",IF(ISBLANK(INDIRECT("R9.Web!D"&amp;SUM(18,38*37,11))),"",INDIRECT("R9.Web!D"&amp;SUM(18,38*37,11))))</f>
        <v/>
      </c>
      <c r="BV30" s="215" t="str" cm="1">
        <f t="array" aca="1" ref="BV30" ca="1">IF($B30="","",IF(ISBLANK(INDIRECT("R9.Web!D"&amp;SUM(18,38*38,11))),"",INDIRECT("R9.Web!D"&amp;SUM(18,38*38,11))))</f>
        <v/>
      </c>
      <c r="BW30" s="215" t="str" cm="1">
        <f t="array" aca="1" ref="BW30" ca="1">IF($B30="","",IF(ISBLANK(INDIRECT("R9.Web!D"&amp;SUM(18,38*39,11))),"",INDIRECT("R9.Web!D"&amp;SUM(18,38*39,11))))</f>
        <v/>
      </c>
      <c r="BX30" s="215" t="str" cm="1">
        <f t="array" aca="1" ref="BX30" ca="1">IF($B30="","",IF(ISBLANK(INDIRECT("R9.Web!D"&amp;SUM(18,38*40,11))),"",INDIRECT("R9.Web!D"&amp;SUM(18,38*40,11))))</f>
        <v/>
      </c>
      <c r="BY30" s="215" t="str" cm="1">
        <f t="array" aca="1" ref="BY30" ca="1">IF($B30="","",IF(ISBLANK(INDIRECT("R9.Web!D"&amp;SUM(18,38*41,11))),"",INDIRECT("R9.Web!D"&amp;SUM(18,38*41,11))))</f>
        <v/>
      </c>
      <c r="BZ30" s="215" t="str" cm="1">
        <f t="array" aca="1" ref="BZ30" ca="1">IF($B30="","",IF(ISBLANK(INDIRECT("R9.Web!D"&amp;SUM(18,38*42,11))),"",INDIRECT("R9.Web!D"&amp;SUM(18,38*42,11))))</f>
        <v/>
      </c>
      <c r="CA30" s="215" t="str" cm="1">
        <f t="array" aca="1" ref="CA30" ca="1">IF($B30="","",IF(ISBLANK(INDIRECT("R9.Web!D"&amp;SUM(18,38*43,11))),"",INDIRECT("R9.Web!D"&amp;SUM(18,38*43,11))))</f>
        <v/>
      </c>
      <c r="CB30" s="215" t="str" cm="1">
        <f t="array" aca="1" ref="CB30" ca="1">IF($B30="","",IF(ISBLANK(INDIRECT("R9.Web!D"&amp;SUM(18,38*44,11))),"",INDIRECT("R9.Web!D"&amp;SUM(18,38*44,11))))</f>
        <v/>
      </c>
      <c r="CC30" s="215" t="str" cm="1">
        <f t="array" aca="1" ref="CC30" ca="1">IF($B30="","",IF(ISBLANK(INDIRECT("R9.Web!D"&amp;SUM(18,38*45,11))),"",INDIRECT("R9.Web!D"&amp;SUM(18,38*45,11))))</f>
        <v/>
      </c>
      <c r="CD30" s="215" t="str" cm="1">
        <f t="array" aca="1" ref="CD30" ca="1">IF($B30="","",IF(ISBLANK(INDIRECT("R9.Web!D"&amp;SUM(18,38*46,11))),"",INDIRECT("R9.Web!D"&amp;SUM(18,38*46,11))))</f>
        <v/>
      </c>
      <c r="CE30" s="215" t="str" cm="1">
        <f t="array" aca="1" ref="CE30" ca="1">IF($B30="","",IF(ISBLANK(INDIRECT("R9.Web!D"&amp;SUM(18,38*47,11))),"",INDIRECT("R9.Web!D"&amp;SUM(18,38*47,11))))</f>
        <v/>
      </c>
      <c r="CF30" s="215" t="str" cm="1">
        <f t="array" aca="1" ref="CF30" ca="1">IF($B30="","",IF(ISBLANK(INDIRECT("R9.Web!D"&amp;SUM(18,38*48,11))),"",INDIRECT("R9.Web!D"&amp;SUM(18,38*48,11))))</f>
        <v/>
      </c>
      <c r="CG30" s="215" t="str" cm="1">
        <f t="array" aca="1" ref="CG30" ca="1">IF($B30="","",IF(ISBLANK(INDIRECT("R9.Web!D"&amp;SUM(18,38*49,11))),"",INDIRECT("R9.Web!D"&amp;SUM(18,38*49,11))))</f>
        <v/>
      </c>
      <c r="CH30" s="215" t="str" cm="1">
        <f t="array" aca="1" ref="CH30" ca="1">IF($B30="","",IF(ISBLANK(INDIRECT("R11.Software!D"&amp;SUM(18,38*0,11))),"",INDIRECT("R11.Software!D"&amp;SUM(18,38*0,11))))</f>
        <v/>
      </c>
      <c r="CI30" s="215" t="str" cm="1">
        <f t="array" aca="1" ref="CI30" ca="1">IF($B30="","",IF(ISBLANK(INDIRECT("R11.Software!D"&amp;SUM(18,38*1,11))),"",INDIRECT("R11.Software!D"&amp;SUM(18,38*1,11))))</f>
        <v/>
      </c>
      <c r="CJ30" s="215" t="str" cm="1">
        <f t="array" aca="1" ref="CJ30" ca="1">IF($B30="","",IF(ISBLANK(INDIRECT("R11.Software!D"&amp;SUM(18,38*2,11))),"",INDIRECT("R11.Software!D"&amp;SUM(18,38*2,11))))</f>
        <v/>
      </c>
      <c r="CK30" s="215" t="str" cm="1">
        <f t="array" aca="1" ref="CK30" ca="1">IF($B30="","",IF(ISBLANK(INDIRECT("R11.Software!D"&amp;SUM(18,38*3,11))),"",INDIRECT("R11.Software!D"&amp;SUM(18,38*3,11))))</f>
        <v/>
      </c>
      <c r="CL30" s="215" t="str" cm="1">
        <f t="array" aca="1" ref="CL30" ca="1">IF($B30="","",IF(ISBLANK(INDIRECT("R11.Software!D"&amp;SUM(18,38*4,11))),"",INDIRECT("R11.Software!D"&amp;SUM(18,38*4,11))))</f>
        <v/>
      </c>
      <c r="CM30" s="215" t="str" cm="1">
        <f t="array" aca="1" ref="CM30" ca="1">IF($B30="","",IF(ISBLANK(INDIRECT("R11.Software!D"&amp;SUM(18,38*5,11))),"",INDIRECT("R11.Software!D"&amp;SUM(18,38*5,11))))</f>
        <v/>
      </c>
      <c r="CN30" s="215" t="str" cm="1">
        <f t="array" aca="1" ref="CN30" ca="1">IF($B30="","",IF(ISBLANK(INDIRECT("R12.ServiciosApoyo!D"&amp;SUM(18,38*0,11))),"",INDIRECT("R12.ServiciosApoyo!D"&amp;SUM(18,38*0,11))))</f>
        <v/>
      </c>
      <c r="CO30" s="215" t="str" cm="1">
        <f t="array" aca="1" ref="CO30" ca="1">IF($B30="","",IF(ISBLANK(INDIRECT("R12.ServiciosApoyo!D"&amp;SUM(18,38*1,11))),"",INDIRECT("R12.ServiciosApoyo!D"&amp;SUM(18,38*1,11))))</f>
        <v/>
      </c>
      <c r="CP30" s="215" t="str" cm="1">
        <f t="array" aca="1" ref="CP30" ca="1">IF($B30="","",IF(ISBLANK(INDIRECT("R12.ServiciosApoyo!D"&amp;SUM(18,38*2,11))),"",INDIRECT("R12.ServiciosApoyo!D"&amp;SUM(18,38*2,11))))</f>
        <v/>
      </c>
      <c r="CQ30" s="215" t="str" cm="1">
        <f t="array" aca="1" ref="CQ30" ca="1">IF($B30="","",IF(ISBLANK(INDIRECT("R12.ServiciosApoyo!D"&amp;SUM(18,38*3,11))),"",INDIRECT("R12.ServiciosApoyo!D"&amp;SUM(18,38*3,11))))</f>
        <v/>
      </c>
      <c r="CR30" s="215" t="str" cm="1">
        <f t="array" aca="1" ref="CR30" ca="1">IF($B30="","",IF(ISBLANK(INDIRECT("R12.ServiciosApoyo!D"&amp;SUM(18,38*4,11))),"",INDIRECT("R12.ServiciosApoyo!D"&amp;SUM(18,38*4,11))))</f>
        <v/>
      </c>
      <c r="CU30" s="100"/>
      <c r="CV30" s="101"/>
      <c r="CW30" s="29"/>
      <c r="CX30" s="29"/>
    </row>
    <row r="31" spans="2:102" ht="20.5">
      <c r="B31" s="181" t="str" cm="1">
        <f t="array" ref="B31">IFERROR(INDEX('03.Muestra'!$B$8:$B$42,SMALL(IF("Página Web"='03.Muestra'!$D$8:$D$42,ROW('03.Muestra'!$B$8:$B$42)-MIN(ROW('03.Muestra'!$D$8:$D$42))+1,""),ROW()-19)),"")</f>
        <v/>
      </c>
      <c r="C31" s="97" t="str" cm="1">
        <f t="array" ref="C31">IFERROR(INDEX('03.Muestra'!$C$8:$C$42,SMALL(IF("Página Web"='03.Muestra'!$D$8:$D$42,ROW('03.Muestra'!$C$8:$C$42)-MIN(ROW('03.Muestra'!$D$8:$D$42))+1,""),ROW()-19)),"")</f>
        <v/>
      </c>
      <c r="D31" s="98" t="str" cm="1">
        <f t="array" ref="D31">IFERROR(INDEX('03.Muestra'!$F$8:$F$42,SMALL(IF("Página Web"='03.Muestra'!$D$8:$D$42,ROW('03.Muestra'!$F$8:$F$42)-MIN(ROW('03.Muestra'!$D$8:$D$42))+1,""),ROW()-19)),"")</f>
        <v/>
      </c>
      <c r="E31" s="215" t="str" cm="1">
        <f t="array" aca="1" ref="E31" ca="1">IF($B31="","",IF(ISBLANK(INDIRECT("R5.Genéricos!D"&amp;SUM(18,38*0,12))),"",INDIRECT("R5.Genéricos!D"&amp;SUM(18,38*0,12))))</f>
        <v/>
      </c>
      <c r="F31" s="215" t="str" cm="1">
        <f t="array" aca="1" ref="F31" ca="1">IF($B31="","",IF(ISBLANK(INDIRECT("R5.Genéricos!D"&amp;SUM(18,38*1,12))),"",INDIRECT("R5.Genéricos!D"&amp;SUM(18,38*1,12))))</f>
        <v/>
      </c>
      <c r="G31" s="215" t="str" cm="1">
        <f t="array" aca="1" ref="G31" ca="1">IF($B31="","",IF(ISBLANK(INDIRECT("R5.Genéricos!D"&amp;SUM(18,38*2,12))),"",INDIRECT("R5.Genéricos!D"&amp;SUM(18,38*2,12))))</f>
        <v/>
      </c>
      <c r="H31" s="215" t="str" cm="1">
        <f t="array" aca="1" ref="H31" ca="1">IF($B31="","",IF(ISBLANK(INDIRECT("R6.Voz!D"&amp;SUM(18,38*0,12))),"",INDIRECT("R6.Voz!D"&amp;SUM(18,38*0,12))))</f>
        <v/>
      </c>
      <c r="I31" s="215" t="str" cm="1">
        <f t="array" aca="1" ref="I31" ca="1">IF($B31="","",IF(ISBLANK(INDIRECT("R6.Voz!D"&amp;SUM(18,38*1,12))),"",INDIRECT("R6.Voz!D"&amp;SUM(18,38*1,12))))</f>
        <v/>
      </c>
      <c r="J31" s="215" t="str" cm="1">
        <f t="array" aca="1" ref="J31" ca="1">IF($B31="","",IF(ISBLANK(INDIRECT("R6.Voz!D"&amp;SUM(18,38*2,12))),"",INDIRECT("R6.Voz!D"&amp;SUM(18,38*2,12))))</f>
        <v/>
      </c>
      <c r="K31" s="215" t="str" cm="1">
        <f t="array" aca="1" ref="K31" ca="1">IF($B31="","",IF(ISBLANK(INDIRECT("R6.Voz!D"&amp;SUM(18,38*3,12))),"",INDIRECT("R6.Voz!D"&amp;SUM(18,38*3,12))))</f>
        <v/>
      </c>
      <c r="L31" s="215" t="str" cm="1">
        <f t="array" aca="1" ref="L31" ca="1">IF($B31="","",IF(ISBLANK(INDIRECT("R6.Voz!D"&amp;SUM(18,38*4,12))),"",INDIRECT("R6.Voz!D"&amp;SUM(18,38*4,12))))</f>
        <v/>
      </c>
      <c r="M31" s="215" t="str" cm="1">
        <f t="array" aca="1" ref="M31" ca="1">IF($B31="","",IF(ISBLANK(INDIRECT("R6.Voz!D"&amp;SUM(18,38*5,12))),"",INDIRECT("R6.Voz!D"&amp;SUM(18,38*5,12))))</f>
        <v/>
      </c>
      <c r="N31" s="215" t="str" cm="1">
        <f t="array" aca="1" ref="N31" ca="1">IF($B31="","",IF(ISBLANK(INDIRECT("R6.Voz!D"&amp;SUM(18,38*6,12))),"",INDIRECT("R6.Voz!D"&amp;SUM(18,38*6,12))))</f>
        <v/>
      </c>
      <c r="O31" s="215" t="str" cm="1">
        <f t="array" aca="1" ref="O31" ca="1">IF($B31="","",IF(ISBLANK(INDIRECT("R6.Voz!D"&amp;SUM(18,38*7,12))),"",INDIRECT("R6.Voz!D"&amp;SUM(18,38*7,12))))</f>
        <v/>
      </c>
      <c r="P31" s="215" t="str" cm="1">
        <f t="array" aca="1" ref="P31" ca="1">IF($B31="","",IF(ISBLANK(INDIRECT("R6.Voz!D"&amp;SUM(18,38*8,12))),"",INDIRECT("R6.Voz!D"&amp;SUM(18,38*8,12))))</f>
        <v/>
      </c>
      <c r="Q31" s="215" t="str" cm="1">
        <f t="array" aca="1" ref="Q31" ca="1">IF($B31="","",IF(ISBLANK(INDIRECT("R6.Voz!D"&amp;SUM(18,38*9,12))),"",INDIRECT("R6.Voz!D"&amp;SUM(18,38*9,12))))</f>
        <v/>
      </c>
      <c r="R31" s="215" t="str" cm="1">
        <f t="array" aca="1" ref="R31" ca="1">IF($B31="","",IF(ISBLANK(INDIRECT("R6.Voz!D"&amp;SUM(18,38*10,12))),"",INDIRECT("R6.Voz!D"&amp;SUM(18,38*10,12))))</f>
        <v/>
      </c>
      <c r="S31" s="215" t="str" cm="1">
        <f t="array" aca="1" ref="S31" ca="1">IF($B31="","",IF(ISBLANK(INDIRECT("R6.Voz!D"&amp;SUM(18,38*11,12))),"",INDIRECT("R6.Voz!D"&amp;SUM(18,38*11,12))))</f>
        <v/>
      </c>
      <c r="T31" s="215" t="str" cm="1">
        <f t="array" aca="1" ref="T31" ca="1">IF($B31="","",IF(ISBLANK(INDIRECT("R6.Voz!D"&amp;SUM(18,38*12,12))),"",INDIRECT("R6.Voz!D"&amp;SUM(18,38*12,12))))</f>
        <v/>
      </c>
      <c r="U31" s="215" t="str" cm="1">
        <f t="array" aca="1" ref="U31" ca="1">IF($B31="","",IF(ISBLANK(INDIRECT("R6.Voz!D"&amp;SUM(18,38*13,12))),"",INDIRECT("R6.Voz!D"&amp;SUM(18,38*13,12))))</f>
        <v/>
      </c>
      <c r="V31" s="215" t="str" cm="1">
        <f t="array" aca="1" ref="V31" ca="1">IF($B31="","",IF(ISBLANK(INDIRECT("R6.Voz!D"&amp;SUM(18,38*14,12))),"",INDIRECT("R6.Voz!D"&amp;SUM(18,38*14,12))))</f>
        <v/>
      </c>
      <c r="W31" s="215" t="str" cm="1">
        <f t="array" aca="1" ref="W31" ca="1">IF($B31="","",IF(ISBLANK(INDIRECT("R6.Voz!D"&amp;SUM(18,38*15,12))),"",INDIRECT("R6.Voz!D"&amp;SUM(18,38*15,12))))</f>
        <v/>
      </c>
      <c r="X31" s="215" t="str" cm="1">
        <f t="array" aca="1" ref="X31" ca="1">IF($B31="","",IF(ISBLANK(INDIRECT("R6.Voz!D"&amp;SUM(18,38*16,12))),"",INDIRECT("R6.Voz!D"&amp;SUM(18,38*16,12))))</f>
        <v/>
      </c>
      <c r="Y31" s="215" t="str" cm="1">
        <f t="array" aca="1" ref="Y31" ca="1">IF($B31="","",IF(ISBLANK(INDIRECT("R6.Voz!D"&amp;SUM(18,38*17,12))),"",INDIRECT("R6.Voz!D"&amp;SUM(18,38*17,12))))</f>
        <v/>
      </c>
      <c r="Z31" s="215" t="str" cm="1">
        <f t="array" aca="1" ref="Z31" ca="1">IF($B31="","",IF(ISBLANK(INDIRECT("R6.Voz!D"&amp;SUM(18,38*18,12))),"",INDIRECT("R6.Voz!D"&amp;SUM(18,38*18,12))))</f>
        <v/>
      </c>
      <c r="AA31" s="215" t="str" cm="1">
        <f t="array" aca="1" ref="AA31" ca="1">IF($B31="","",IF(ISBLANK(INDIRECT("R7.Video!D"&amp;SUM(18,38*0,12))),"",INDIRECT("R7.Video!D"&amp;SUM(18,38*0,12))))</f>
        <v/>
      </c>
      <c r="AB31" s="215" t="str" cm="1">
        <f t="array" aca="1" ref="AB31" ca="1">IF($B31="","",IF(ISBLANK(INDIRECT("R7.Video!D"&amp;SUM(18,38*1,12))),"",INDIRECT("R7.Video!D"&amp;SUM(18,38*1,12))))</f>
        <v/>
      </c>
      <c r="AC31" s="215" t="str" cm="1">
        <f t="array" aca="1" ref="AC31" ca="1">IF($B31="","",IF(ISBLANK(INDIRECT("R7.Video!D"&amp;SUM(18,38*2,12))),"",INDIRECT("R7.Video!D"&amp;SUM(18,38*2,12))))</f>
        <v/>
      </c>
      <c r="AD31" s="215" t="str" cm="1">
        <f t="array" aca="1" ref="AD31" ca="1">IF($B31="","",IF(ISBLANK(INDIRECT("R7.Video!D"&amp;SUM(18,38*3,12))),"",INDIRECT("R7.Video!D"&amp;SUM(18,38*3,12))))</f>
        <v/>
      </c>
      <c r="AE31" s="215" t="str" cm="1">
        <f t="array" aca="1" ref="AE31" ca="1">IF($B31="","",IF(ISBLANK(INDIRECT("R7.Video!D"&amp;SUM(18,38*4,12))),"",INDIRECT("R7.Video!D"&amp;SUM(18,38*4,12))))</f>
        <v/>
      </c>
      <c r="AF31" s="215" t="str" cm="1">
        <f t="array" aca="1" ref="AF31" ca="1">IF($B31="","",IF(ISBLANK(INDIRECT("R7.Video!D"&amp;SUM(18,38*5,12))),"",INDIRECT("R7.Video!D"&amp;SUM(18,38*5,12))))</f>
        <v/>
      </c>
      <c r="AG31" s="215" t="str" cm="1">
        <f t="array" aca="1" ref="AG31" ca="1">IF($B31="","",IF(ISBLANK(INDIRECT("R7.Video!D"&amp;SUM(18,38*6,12))),"",INDIRECT("R7.Video!D"&amp;SUM(18,38*6,12))))</f>
        <v/>
      </c>
      <c r="AH31" s="215" t="str" cm="1">
        <f t="array" aca="1" ref="AH31" ca="1">IF($B31="","",IF(ISBLANK(INDIRECT("R7.Video!D"&amp;SUM(18,38*7,12))),"",INDIRECT("R7.Video!D"&amp;SUM(18,38*7,12))))</f>
        <v/>
      </c>
      <c r="AI31" s="215" t="str" cm="1">
        <f t="array" aca="1" ref="AI31" ca="1">IF($B31="","",IF(ISBLANK(INDIRECT("R7.Video!D"&amp;SUM(18,38*8,12))),"",INDIRECT("R7.Video!D"&amp;SUM(18,38*8,12))))</f>
        <v/>
      </c>
      <c r="AJ31" s="215" t="str" cm="1">
        <f t="array" aca="1" ref="AJ31" ca="1">IF($B31="","",IF(ISBLANK(INDIRECT("R9.Web!D"&amp;SUM(18,38*0,12))),"",INDIRECT("R9.Web!D"&amp;SUM(18,38*0,12))))</f>
        <v/>
      </c>
      <c r="AK31" s="215" t="str" cm="1">
        <f t="array" aca="1" ref="AK31" ca="1">IF($B31="","",IF(ISBLANK(INDIRECT("R9.Web!D"&amp;SUM(18,38*1,12))),"",INDIRECT("R9.Web!D"&amp;SUM(18,38*1,12))))</f>
        <v/>
      </c>
      <c r="AL31" s="215" t="str" cm="1">
        <f t="array" aca="1" ref="AL31" ca="1">IF($B31="","",IF(ISBLANK(INDIRECT("R9.Web!D"&amp;SUM(18,38*2,12))),"",INDIRECT("R9.Web!D"&amp;SUM(18,38*2,12))))</f>
        <v/>
      </c>
      <c r="AM31" s="215" t="str" cm="1">
        <f t="array" aca="1" ref="AM31" ca="1">IF($B31="","",IF(ISBLANK(INDIRECT("R9.Web!D"&amp;SUM(18,38*3,12))),"",INDIRECT("R9.Web!D"&amp;SUM(18,38*3,12))))</f>
        <v/>
      </c>
      <c r="AN31" s="215" t="str" cm="1">
        <f t="array" aca="1" ref="AN31" ca="1">IF($B31="","",IF(ISBLANK(INDIRECT("R9.Web!D"&amp;SUM(18,38*4,12))),"",INDIRECT("R9.Web!D"&amp;SUM(18,38*4,12))))</f>
        <v/>
      </c>
      <c r="AO31" s="215" t="str" cm="1">
        <f t="array" aca="1" ref="AO31" ca="1">IF($B31="","",IF(ISBLANK(INDIRECT("R9.Web!D"&amp;SUM(18,38*5,12))),"",INDIRECT("R9.Web!D"&amp;SUM(18,38*5,12))))</f>
        <v/>
      </c>
      <c r="AP31" s="215" t="str" cm="1">
        <f t="array" aca="1" ref="AP31" ca="1">IF($B31="","",IF(ISBLANK(INDIRECT("R9.Web!D"&amp;SUM(18,38*6,12))),"",INDIRECT("R9.Web!D"&amp;SUM(18,38*6,12))))</f>
        <v/>
      </c>
      <c r="AQ31" s="215" t="str" cm="1">
        <f t="array" aca="1" ref="AQ31" ca="1">IF($B31="","",IF(ISBLANK(INDIRECT("R9.Web!D"&amp;SUM(18,38*7,12))),"",INDIRECT("R9.Web!D"&amp;SUM(18,38*7,12))))</f>
        <v/>
      </c>
      <c r="AR31" s="215" t="str" cm="1">
        <f t="array" aca="1" ref="AR31" ca="1">IF($B31="","",IF(ISBLANK(INDIRECT("R9.Web!D"&amp;SUM(18,38*8,12))),"",INDIRECT("R9.Web!D"&amp;SUM(18,38*8,12))))</f>
        <v/>
      </c>
      <c r="AS31" s="215" t="str" cm="1">
        <f t="array" aca="1" ref="AS31" ca="1">IF($B31="","",IF(ISBLANK(INDIRECT("R9.Web!D"&amp;SUM(18,38*9,12))),"",INDIRECT("R9.Web!D"&amp;SUM(18,38*9,12))))</f>
        <v/>
      </c>
      <c r="AT31" s="215" t="str" cm="1">
        <f t="array" aca="1" ref="AT31" ca="1">IF($B31="","",IF(ISBLANK(INDIRECT("R9.Web!D"&amp;SUM(18,38*10,12))),"",INDIRECT("R9.Web!D"&amp;SUM(18,38*10,12))))</f>
        <v/>
      </c>
      <c r="AU31" s="215" t="str" cm="1">
        <f t="array" aca="1" ref="AU31" ca="1">IF($B31="","",IF(ISBLANK(INDIRECT("R9.Web!D"&amp;SUM(18,38*11,12))),"",INDIRECT("R9.Web!D"&amp;SUM(18,38*11,12))))</f>
        <v/>
      </c>
      <c r="AV31" s="215" t="str" cm="1">
        <f t="array" aca="1" ref="AV31" ca="1">IF($B31="","",IF(ISBLANK(INDIRECT("R9.Web!D"&amp;SUM(18,38*12,12))),"",INDIRECT("R9.Web!D"&amp;SUM(18,38*12,12))))</f>
        <v/>
      </c>
      <c r="AW31" s="215" t="str" cm="1">
        <f t="array" aca="1" ref="AW31" ca="1">IF($B31="","",IF(ISBLANK(INDIRECT("R9.Web!D"&amp;SUM(18,38*13,12))),"",INDIRECT("R9.Web!D"&amp;SUM(18,38*13,12))))</f>
        <v/>
      </c>
      <c r="AX31" s="215" t="str" cm="1">
        <f t="array" aca="1" ref="AX31" ca="1">IF($B31="","",IF(ISBLANK(INDIRECT("R9.Web!D"&amp;SUM(18,38*14,12))),"",INDIRECT("R9.Web!D"&amp;SUM(18,38*14,12))))</f>
        <v/>
      </c>
      <c r="AY31" s="215" t="str" cm="1">
        <f t="array" aca="1" ref="AY31" ca="1">IF($B31="","",IF(ISBLANK(INDIRECT("R9.Web!D"&amp;SUM(18,38*15,12))),"",INDIRECT("R9.Web!D"&amp;SUM(18,38*15,12))))</f>
        <v/>
      </c>
      <c r="AZ31" s="215" t="str" cm="1">
        <f t="array" aca="1" ref="AZ31" ca="1">IF($B31="","",IF(ISBLANK(INDIRECT("R9.Web!D"&amp;SUM(18,38*16,12))),"",INDIRECT("R9.Web!D"&amp;SUM(18,38*16,12))))</f>
        <v/>
      </c>
      <c r="BA31" s="215" t="str" cm="1">
        <f t="array" aca="1" ref="BA31" ca="1">IF($B31="","",IF(ISBLANK(INDIRECT("R9.Web!D"&amp;SUM(18,38*17,12))),"",INDIRECT("R9.Web!D"&amp;SUM(18,38*17,12))))</f>
        <v/>
      </c>
      <c r="BB31" s="215" t="str" cm="1">
        <f t="array" aca="1" ref="BB31" ca="1">IF($B31="","",IF(ISBLANK(INDIRECT("R9.Web!D"&amp;SUM(18,38*18,12))),"",INDIRECT("R9.Web!D"&amp;SUM(18,38*18,12))))</f>
        <v/>
      </c>
      <c r="BC31" s="215" t="str" cm="1">
        <f t="array" aca="1" ref="BC31" ca="1">IF($B31="","",IF(ISBLANK(INDIRECT("R9.Web!D"&amp;SUM(18,38*19,12))),"",INDIRECT("R9.Web!D"&amp;SUM(18,38*19,12))))</f>
        <v/>
      </c>
      <c r="BD31" s="215" t="str" cm="1">
        <f t="array" aca="1" ref="BD31" ca="1">IF($B31="","",IF(ISBLANK(INDIRECT("R9.Web!D"&amp;SUM(18,38*20,12))),"",INDIRECT("R9.Web!D"&amp;SUM(18,38*20,12))))</f>
        <v/>
      </c>
      <c r="BE31" s="215" t="str" cm="1">
        <f t="array" aca="1" ref="BE31" ca="1">IF($B31="","",IF(ISBLANK(INDIRECT("R9.Web!D"&amp;SUM(18,38*21,12))),"",INDIRECT("R9.Web!D"&amp;SUM(18,38*21,12))))</f>
        <v/>
      </c>
      <c r="BF31" s="215" t="str" cm="1">
        <f t="array" aca="1" ref="BF31" ca="1">IF($B31="","",IF(ISBLANK(INDIRECT("R9.Web!D"&amp;SUM(18,38*22,12))),"",INDIRECT("R9.Web!D"&amp;SUM(18,38*22,12))))</f>
        <v/>
      </c>
      <c r="BG31" s="215" t="str" cm="1">
        <f t="array" aca="1" ref="BG31" ca="1">IF($B31="","",IF(ISBLANK(INDIRECT("R9.Web!D"&amp;SUM(18,38*23,12))),"",INDIRECT("R9.Web!D"&amp;SUM(18,38*23,12))))</f>
        <v/>
      </c>
      <c r="BH31" s="215" t="str" cm="1">
        <f t="array" aca="1" ref="BH31" ca="1">IF($B31="","",IF(ISBLANK(INDIRECT("R9.Web!D"&amp;SUM(18,38*24,12))),"",INDIRECT("R9.Web!D"&amp;SUM(18,38*24,12))))</f>
        <v/>
      </c>
      <c r="BI31" s="215" t="str" cm="1">
        <f t="array" aca="1" ref="BI31" ca="1">IF($B31="","",IF(ISBLANK(INDIRECT("R9.Web!D"&amp;SUM(18,38*25,12))),"",INDIRECT("R9.Web!D"&amp;SUM(18,38*25,12))))</f>
        <v/>
      </c>
      <c r="BJ31" s="215" t="str" cm="1">
        <f t="array" aca="1" ref="BJ31" ca="1">IF($B31="","",IF(ISBLANK(INDIRECT("R9.Web!D"&amp;SUM(18,38*26,12))),"",INDIRECT("R9.Web!D"&amp;SUM(18,38*26,12))))</f>
        <v/>
      </c>
      <c r="BK31" s="215" t="str" cm="1">
        <f t="array" aca="1" ref="BK31" ca="1">IF($B31="","",IF(ISBLANK(INDIRECT("R9.Web!D"&amp;SUM(18,38*27,12))),"",INDIRECT("R9.Web!D"&amp;SUM(18,38*27,12))))</f>
        <v/>
      </c>
      <c r="BL31" s="215" t="str" cm="1">
        <f t="array" aca="1" ref="BL31" ca="1">IF($B31="","",IF(ISBLANK(INDIRECT("R9.Web!D"&amp;SUM(18,38*28,12))),"",INDIRECT("R9.Web!D"&amp;SUM(18,38*28,12))))</f>
        <v/>
      </c>
      <c r="BM31" s="215" t="str" cm="1">
        <f t="array" aca="1" ref="BM31" ca="1">IF($B31="","",IF(ISBLANK(INDIRECT("R9.Web!D"&amp;SUM(18,38*29,12))),"",INDIRECT("R9.Web!D"&amp;SUM(18,38*29,12))))</f>
        <v/>
      </c>
      <c r="BN31" s="215" t="str" cm="1">
        <f t="array" aca="1" ref="BN31" ca="1">IF($B31="","",IF(ISBLANK(INDIRECT("R9.Web!D"&amp;SUM(18,38*30,12))),"",INDIRECT("R9.Web!D"&amp;SUM(18,38*30,12))))</f>
        <v/>
      </c>
      <c r="BO31" s="215" t="str" cm="1">
        <f t="array" aca="1" ref="BO31" ca="1">IF($B31="","",IF(ISBLANK(INDIRECT("R9.Web!D"&amp;SUM(18,38*31,12))),"",INDIRECT("R9.Web!D"&amp;SUM(18,38*31,12))))</f>
        <v/>
      </c>
      <c r="BP31" s="215" t="str" cm="1">
        <f t="array" aca="1" ref="BP31" ca="1">IF($B31="","",IF(ISBLANK(INDIRECT("R9.Web!D"&amp;SUM(18,38*32,12))),"",INDIRECT("R9.Web!D"&amp;SUM(18,38*32,12))))</f>
        <v/>
      </c>
      <c r="BQ31" s="215" t="str" cm="1">
        <f t="array" aca="1" ref="BQ31" ca="1">IF($B31="","",IF(ISBLANK(INDIRECT("R9.Web!D"&amp;SUM(18,38*33,12))),"",INDIRECT("R9.Web!D"&amp;SUM(18,38*33,12))))</f>
        <v/>
      </c>
      <c r="BR31" s="215" t="str" cm="1">
        <f t="array" aca="1" ref="BR31" ca="1">IF($B31="","",IF(ISBLANK(INDIRECT("R9.Web!D"&amp;SUM(18,38*34,12))),"",INDIRECT("R9.Web!D"&amp;SUM(18,38*34,12))))</f>
        <v/>
      </c>
      <c r="BS31" s="215" t="str" cm="1">
        <f t="array" aca="1" ref="BS31" ca="1">IF($B31="","",IF(ISBLANK(INDIRECT("R9.Web!D"&amp;SUM(18,38*35,12))),"",INDIRECT("R9.Web!D"&amp;SUM(18,38*35,12))))</f>
        <v/>
      </c>
      <c r="BT31" s="215" t="str" cm="1">
        <f t="array" aca="1" ref="BT31" ca="1">IF($B31="","",IF(ISBLANK(INDIRECT("R9.Web!D"&amp;SUM(18,38*36,12))),"",INDIRECT("R9.Web!D"&amp;SUM(18,38*36,12))))</f>
        <v/>
      </c>
      <c r="BU31" s="215" t="str" cm="1">
        <f t="array" aca="1" ref="BU31" ca="1">IF($B31="","",IF(ISBLANK(INDIRECT("R9.Web!D"&amp;SUM(18,38*37,12))),"",INDIRECT("R9.Web!D"&amp;SUM(18,38*37,12))))</f>
        <v/>
      </c>
      <c r="BV31" s="215" t="str" cm="1">
        <f t="array" aca="1" ref="BV31" ca="1">IF($B31="","",IF(ISBLANK(INDIRECT("R9.Web!D"&amp;SUM(18,38*38,12))),"",INDIRECT("R9.Web!D"&amp;SUM(18,38*38,12))))</f>
        <v/>
      </c>
      <c r="BW31" s="215" t="str" cm="1">
        <f t="array" aca="1" ref="BW31" ca="1">IF($B31="","",IF(ISBLANK(INDIRECT("R9.Web!D"&amp;SUM(18,38*39,12))),"",INDIRECT("R9.Web!D"&amp;SUM(18,38*39,12))))</f>
        <v/>
      </c>
      <c r="BX31" s="215" t="str" cm="1">
        <f t="array" aca="1" ref="BX31" ca="1">IF($B31="","",IF(ISBLANK(INDIRECT("R9.Web!D"&amp;SUM(18,38*40,12))),"",INDIRECT("R9.Web!D"&amp;SUM(18,38*40,12))))</f>
        <v/>
      </c>
      <c r="BY31" s="215" t="str" cm="1">
        <f t="array" aca="1" ref="BY31" ca="1">IF($B31="","",IF(ISBLANK(INDIRECT("R9.Web!D"&amp;SUM(18,38*41,12))),"",INDIRECT("R9.Web!D"&amp;SUM(18,38*41,12))))</f>
        <v/>
      </c>
      <c r="BZ31" s="215" t="str" cm="1">
        <f t="array" aca="1" ref="BZ31" ca="1">IF($B31="","",IF(ISBLANK(INDIRECT("R9.Web!D"&amp;SUM(18,38*42,12))),"",INDIRECT("R9.Web!D"&amp;SUM(18,38*42,12))))</f>
        <v/>
      </c>
      <c r="CA31" s="215" t="str" cm="1">
        <f t="array" aca="1" ref="CA31" ca="1">IF($B31="","",IF(ISBLANK(INDIRECT("R9.Web!D"&amp;SUM(18,38*43,12))),"",INDIRECT("R9.Web!D"&amp;SUM(18,38*43,12))))</f>
        <v/>
      </c>
      <c r="CB31" s="215" t="str" cm="1">
        <f t="array" aca="1" ref="CB31" ca="1">IF($B31="","",IF(ISBLANK(INDIRECT("R9.Web!D"&amp;SUM(18,38*44,12))),"",INDIRECT("R9.Web!D"&amp;SUM(18,38*44,12))))</f>
        <v/>
      </c>
      <c r="CC31" s="215" t="str" cm="1">
        <f t="array" aca="1" ref="CC31" ca="1">IF($B31="","",IF(ISBLANK(INDIRECT("R9.Web!D"&amp;SUM(18,38*45,12))),"",INDIRECT("R9.Web!D"&amp;SUM(18,38*45,12))))</f>
        <v/>
      </c>
      <c r="CD31" s="215" t="str" cm="1">
        <f t="array" aca="1" ref="CD31" ca="1">IF($B31="","",IF(ISBLANK(INDIRECT("R9.Web!D"&amp;SUM(18,38*46,12))),"",INDIRECT("R9.Web!D"&amp;SUM(18,38*46,12))))</f>
        <v/>
      </c>
      <c r="CE31" s="215" t="str" cm="1">
        <f t="array" aca="1" ref="CE31" ca="1">IF($B31="","",IF(ISBLANK(INDIRECT("R9.Web!D"&amp;SUM(18,38*47,12))),"",INDIRECT("R9.Web!D"&amp;SUM(18,38*47,12))))</f>
        <v/>
      </c>
      <c r="CF31" s="215" t="str" cm="1">
        <f t="array" aca="1" ref="CF31" ca="1">IF($B31="","",IF(ISBLANK(INDIRECT("R9.Web!D"&amp;SUM(18,38*48,12))),"",INDIRECT("R9.Web!D"&amp;SUM(18,38*48,12))))</f>
        <v/>
      </c>
      <c r="CG31" s="215" t="str" cm="1">
        <f t="array" aca="1" ref="CG31" ca="1">IF($B31="","",IF(ISBLANK(INDIRECT("R9.Web!D"&amp;SUM(18,38*49,12))),"",INDIRECT("R9.Web!D"&amp;SUM(18,38*49,12))))</f>
        <v/>
      </c>
      <c r="CH31" s="215" t="str" cm="1">
        <f t="array" aca="1" ref="CH31" ca="1">IF($B31="","",IF(ISBLANK(INDIRECT("R11.Software!D"&amp;SUM(18,38*0,12))),"",INDIRECT("R11.Software!D"&amp;SUM(18,38*0,12))))</f>
        <v/>
      </c>
      <c r="CI31" s="215" t="str" cm="1">
        <f t="array" aca="1" ref="CI31" ca="1">IF($B31="","",IF(ISBLANK(INDIRECT("R11.Software!D"&amp;SUM(18,38*1,12))),"",INDIRECT("R11.Software!D"&amp;SUM(18,38*1,12))))</f>
        <v/>
      </c>
      <c r="CJ31" s="215" t="str" cm="1">
        <f t="array" aca="1" ref="CJ31" ca="1">IF($B31="","",IF(ISBLANK(INDIRECT("R11.Software!D"&amp;SUM(18,38*2,12))),"",INDIRECT("R11.Software!D"&amp;SUM(18,38*2,12))))</f>
        <v/>
      </c>
      <c r="CK31" s="215" t="str" cm="1">
        <f t="array" aca="1" ref="CK31" ca="1">IF($B31="","",IF(ISBLANK(INDIRECT("R11.Software!D"&amp;SUM(18,38*3,12))),"",INDIRECT("R11.Software!D"&amp;SUM(18,38*3,12))))</f>
        <v/>
      </c>
      <c r="CL31" s="215" t="str" cm="1">
        <f t="array" aca="1" ref="CL31" ca="1">IF($B31="","",IF(ISBLANK(INDIRECT("R11.Software!D"&amp;SUM(18,38*4,12))),"",INDIRECT("R11.Software!D"&amp;SUM(18,38*4,12))))</f>
        <v/>
      </c>
      <c r="CM31" s="215" t="str" cm="1">
        <f t="array" aca="1" ref="CM31" ca="1">IF($B31="","",IF(ISBLANK(INDIRECT("R11.Software!D"&amp;SUM(18,38*5,12))),"",INDIRECT("R11.Software!D"&amp;SUM(18,38*5,12))))</f>
        <v/>
      </c>
      <c r="CN31" s="215" t="str" cm="1">
        <f t="array" aca="1" ref="CN31" ca="1">IF($B31="","",IF(ISBLANK(INDIRECT("R12.ServiciosApoyo!D"&amp;SUM(18,38*0,12))),"",INDIRECT("R12.ServiciosApoyo!D"&amp;SUM(18,38*0,12))))</f>
        <v/>
      </c>
      <c r="CO31" s="215" t="str" cm="1">
        <f t="array" aca="1" ref="CO31" ca="1">IF($B31="","",IF(ISBLANK(INDIRECT("R12.ServiciosApoyo!D"&amp;SUM(18,38*1,12))),"",INDIRECT("R12.ServiciosApoyo!D"&amp;SUM(18,38*1,12))))</f>
        <v/>
      </c>
      <c r="CP31" s="215" t="str" cm="1">
        <f t="array" aca="1" ref="CP31" ca="1">IF($B31="","",IF(ISBLANK(INDIRECT("R12.ServiciosApoyo!D"&amp;SUM(18,38*2,12))),"",INDIRECT("R12.ServiciosApoyo!D"&amp;SUM(18,38*2,12))))</f>
        <v/>
      </c>
      <c r="CQ31" s="215" t="str" cm="1">
        <f t="array" aca="1" ref="CQ31" ca="1">IF($B31="","",IF(ISBLANK(INDIRECT("R12.ServiciosApoyo!D"&amp;SUM(18,38*3,12))),"",INDIRECT("R12.ServiciosApoyo!D"&amp;SUM(18,38*3,12))))</f>
        <v/>
      </c>
      <c r="CR31" s="215" t="str" cm="1">
        <f t="array" aca="1" ref="CR31" ca="1">IF($B31="","",IF(ISBLANK(INDIRECT("R12.ServiciosApoyo!D"&amp;SUM(18,38*4,12))),"",INDIRECT("R12.ServiciosApoyo!D"&amp;SUM(18,38*4,12))))</f>
        <v/>
      </c>
      <c r="CU31" s="100"/>
      <c r="CV31" s="29"/>
      <c r="CW31" s="29"/>
      <c r="CX31" s="29"/>
    </row>
    <row r="32" spans="2:102" ht="20.5">
      <c r="B32" s="181" t="str" cm="1">
        <f t="array" ref="B32">IFERROR(INDEX('03.Muestra'!$B$8:$B$42,SMALL(IF("Página Web"='03.Muestra'!$D$8:$D$42,ROW('03.Muestra'!$B$8:$B$42)-MIN(ROW('03.Muestra'!$D$8:$D$42))+1,""),ROW()-19)),"")</f>
        <v/>
      </c>
      <c r="C32" s="97" t="str" cm="1">
        <f t="array" ref="C32">IFERROR(INDEX('03.Muestra'!$C$8:$C$42,SMALL(IF("Página Web"='03.Muestra'!$D$8:$D$42,ROW('03.Muestra'!$C$8:$C$42)-MIN(ROW('03.Muestra'!$D$8:$D$42))+1,""),ROW()-19)),"")</f>
        <v/>
      </c>
      <c r="D32" s="98" t="str" cm="1">
        <f t="array" ref="D32">IFERROR(INDEX('03.Muestra'!$F$8:$F$42,SMALL(IF("Página Web"='03.Muestra'!$D$8:$D$42,ROW('03.Muestra'!$F$8:$F$42)-MIN(ROW('03.Muestra'!$D$8:$D$42))+1,""),ROW()-19)),"")</f>
        <v/>
      </c>
      <c r="E32" s="215" t="str" cm="1">
        <f t="array" aca="1" ref="E32" ca="1">IF($B32="","",IF(ISBLANK(INDIRECT("R5.Genéricos!D"&amp;SUM(18,38*0,13))),"",INDIRECT("R5.Genéricos!D"&amp;SUM(18,38*0,13))))</f>
        <v/>
      </c>
      <c r="F32" s="215" t="str" cm="1">
        <f t="array" aca="1" ref="F32" ca="1">IF($B32="","",IF(ISBLANK(INDIRECT("R5.Genéricos!D"&amp;SUM(18,38*1,13))),"",INDIRECT("R5.Genéricos!D"&amp;SUM(18,38*1,13))))</f>
        <v/>
      </c>
      <c r="G32" s="215" t="str" cm="1">
        <f t="array" aca="1" ref="G32" ca="1">IF($B32="","",IF(ISBLANK(INDIRECT("R5.Genéricos!D"&amp;SUM(18,38*2,13))),"",INDIRECT("R5.Genéricos!D"&amp;SUM(18,38*2,13))))</f>
        <v/>
      </c>
      <c r="H32" s="215" t="str" cm="1">
        <f t="array" aca="1" ref="H32" ca="1">IF($B32="","",IF(ISBLANK(INDIRECT("R6.Voz!D"&amp;SUM(18,38*0,13))),"",INDIRECT("R6.Voz!D"&amp;SUM(18,38*0,13))))</f>
        <v/>
      </c>
      <c r="I32" s="215" t="str" cm="1">
        <f t="array" aca="1" ref="I32" ca="1">IF($B32="","",IF(ISBLANK(INDIRECT("R6.Voz!D"&amp;SUM(18,38*1,13))),"",INDIRECT("R6.Voz!D"&amp;SUM(18,38*1,13))))</f>
        <v/>
      </c>
      <c r="J32" s="215" t="str" cm="1">
        <f t="array" aca="1" ref="J32" ca="1">IF($B32="","",IF(ISBLANK(INDIRECT("R6.Voz!D"&amp;SUM(18,38*2,13))),"",INDIRECT("R6.Voz!D"&amp;SUM(18,38*2,13))))</f>
        <v/>
      </c>
      <c r="K32" s="215" t="str" cm="1">
        <f t="array" aca="1" ref="K32" ca="1">IF($B32="","",IF(ISBLANK(INDIRECT("R6.Voz!D"&amp;SUM(18,38*3,13))),"",INDIRECT("R6.Voz!D"&amp;SUM(18,38*3,13))))</f>
        <v/>
      </c>
      <c r="L32" s="215" t="str" cm="1">
        <f t="array" aca="1" ref="L32" ca="1">IF($B32="","",IF(ISBLANK(INDIRECT("R6.Voz!D"&amp;SUM(18,38*4,13))),"",INDIRECT("R6.Voz!D"&amp;SUM(18,38*4,13))))</f>
        <v/>
      </c>
      <c r="M32" s="215" t="str" cm="1">
        <f t="array" aca="1" ref="M32" ca="1">IF($B32="","",IF(ISBLANK(INDIRECT("R6.Voz!D"&amp;SUM(18,38*5,13))),"",INDIRECT("R6.Voz!D"&amp;SUM(18,38*5,13))))</f>
        <v/>
      </c>
      <c r="N32" s="215" t="str" cm="1">
        <f t="array" aca="1" ref="N32" ca="1">IF($B32="","",IF(ISBLANK(INDIRECT("R6.Voz!D"&amp;SUM(18,38*6,13))),"",INDIRECT("R6.Voz!D"&amp;SUM(18,38*6,13))))</f>
        <v/>
      </c>
      <c r="O32" s="215" t="str" cm="1">
        <f t="array" aca="1" ref="O32" ca="1">IF($B32="","",IF(ISBLANK(INDIRECT("R6.Voz!D"&amp;SUM(18,38*7,13))),"",INDIRECT("R6.Voz!D"&amp;SUM(18,38*7,13))))</f>
        <v/>
      </c>
      <c r="P32" s="215" t="str" cm="1">
        <f t="array" aca="1" ref="P32" ca="1">IF($B32="","",IF(ISBLANK(INDIRECT("R6.Voz!D"&amp;SUM(18,38*8,13))),"",INDIRECT("R6.Voz!D"&amp;SUM(18,38*8,13))))</f>
        <v/>
      </c>
      <c r="Q32" s="215" t="str" cm="1">
        <f t="array" aca="1" ref="Q32" ca="1">IF($B32="","",IF(ISBLANK(INDIRECT("R6.Voz!D"&amp;SUM(18,38*9,13))),"",INDIRECT("R6.Voz!D"&amp;SUM(18,38*9,13))))</f>
        <v/>
      </c>
      <c r="R32" s="215" t="str" cm="1">
        <f t="array" aca="1" ref="R32" ca="1">IF($B32="","",IF(ISBLANK(INDIRECT("R6.Voz!D"&amp;SUM(18,38*10,13))),"",INDIRECT("R6.Voz!D"&amp;SUM(18,38*10,13))))</f>
        <v/>
      </c>
      <c r="S32" s="215" t="str" cm="1">
        <f t="array" aca="1" ref="S32" ca="1">IF($B32="","",IF(ISBLANK(INDIRECT("R6.Voz!D"&amp;SUM(18,38*11,13))),"",INDIRECT("R6.Voz!D"&amp;SUM(18,38*11,13))))</f>
        <v/>
      </c>
      <c r="T32" s="215" t="str" cm="1">
        <f t="array" aca="1" ref="T32" ca="1">IF($B32="","",IF(ISBLANK(INDIRECT("R6.Voz!D"&amp;SUM(18,38*12,13))),"",INDIRECT("R6.Voz!D"&amp;SUM(18,38*12,13))))</f>
        <v/>
      </c>
      <c r="U32" s="215" t="str" cm="1">
        <f t="array" aca="1" ref="U32" ca="1">IF($B32="","",IF(ISBLANK(INDIRECT("R6.Voz!D"&amp;SUM(18,38*13,13))),"",INDIRECT("R6.Voz!D"&amp;SUM(18,38*13,13))))</f>
        <v/>
      </c>
      <c r="V32" s="215" t="str" cm="1">
        <f t="array" aca="1" ref="V32" ca="1">IF($B32="","",IF(ISBLANK(INDIRECT("R6.Voz!D"&amp;SUM(18,38*14,13))),"",INDIRECT("R6.Voz!D"&amp;SUM(18,38*14,13))))</f>
        <v/>
      </c>
      <c r="W32" s="215" t="str" cm="1">
        <f t="array" aca="1" ref="W32" ca="1">IF($B32="","",IF(ISBLANK(INDIRECT("R6.Voz!D"&amp;SUM(18,38*15,13))),"",INDIRECT("R6.Voz!D"&amp;SUM(18,38*15,13))))</f>
        <v/>
      </c>
      <c r="X32" s="215" t="str" cm="1">
        <f t="array" aca="1" ref="X32" ca="1">IF($B32="","",IF(ISBLANK(INDIRECT("R6.Voz!D"&amp;SUM(18,38*16,13))),"",INDIRECT("R6.Voz!D"&amp;SUM(18,38*16,13))))</f>
        <v/>
      </c>
      <c r="Y32" s="215" t="str" cm="1">
        <f t="array" aca="1" ref="Y32" ca="1">IF($B32="","",IF(ISBLANK(INDIRECT("R6.Voz!D"&amp;SUM(18,38*17,13))),"",INDIRECT("R6.Voz!D"&amp;SUM(18,38*17,13))))</f>
        <v/>
      </c>
      <c r="Z32" s="215" t="str" cm="1">
        <f t="array" aca="1" ref="Z32" ca="1">IF($B32="","",IF(ISBLANK(INDIRECT("R6.Voz!D"&amp;SUM(18,38*18,13))),"",INDIRECT("R6.Voz!D"&amp;SUM(18,38*18,13))))</f>
        <v/>
      </c>
      <c r="AA32" s="215" t="str" cm="1">
        <f t="array" aca="1" ref="AA32" ca="1">IF($B32="","",IF(ISBLANK(INDIRECT("R7.Video!D"&amp;SUM(18,38*0,13))),"",INDIRECT("R7.Video!D"&amp;SUM(18,38*0,13))))</f>
        <v/>
      </c>
      <c r="AB32" s="215" t="str" cm="1">
        <f t="array" aca="1" ref="AB32" ca="1">IF($B32="","",IF(ISBLANK(INDIRECT("R7.Video!D"&amp;SUM(18,38*1,13))),"",INDIRECT("R7.Video!D"&amp;SUM(18,38*1,13))))</f>
        <v/>
      </c>
      <c r="AC32" s="215" t="str" cm="1">
        <f t="array" aca="1" ref="AC32" ca="1">IF($B32="","",IF(ISBLANK(INDIRECT("R7.Video!D"&amp;SUM(18,38*2,13))),"",INDIRECT("R7.Video!D"&amp;SUM(18,38*2,13))))</f>
        <v/>
      </c>
      <c r="AD32" s="215" t="str" cm="1">
        <f t="array" aca="1" ref="AD32" ca="1">IF($B32="","",IF(ISBLANK(INDIRECT("R7.Video!D"&amp;SUM(18,38*3,13))),"",INDIRECT("R7.Video!D"&amp;SUM(18,38*3,13))))</f>
        <v/>
      </c>
      <c r="AE32" s="215" t="str" cm="1">
        <f t="array" aca="1" ref="AE32" ca="1">IF($B32="","",IF(ISBLANK(INDIRECT("R7.Video!D"&amp;SUM(18,38*4,13))),"",INDIRECT("R7.Video!D"&amp;SUM(18,38*4,13))))</f>
        <v/>
      </c>
      <c r="AF32" s="215" t="str" cm="1">
        <f t="array" aca="1" ref="AF32" ca="1">IF($B32="","",IF(ISBLANK(INDIRECT("R7.Video!D"&amp;SUM(18,38*5,13))),"",INDIRECT("R7.Video!D"&amp;SUM(18,38*5,13))))</f>
        <v/>
      </c>
      <c r="AG32" s="215" t="str" cm="1">
        <f t="array" aca="1" ref="AG32" ca="1">IF($B32="","",IF(ISBLANK(INDIRECT("R7.Video!D"&amp;SUM(18,38*6,13))),"",INDIRECT("R7.Video!D"&amp;SUM(18,38*6,13))))</f>
        <v/>
      </c>
      <c r="AH32" s="215" t="str" cm="1">
        <f t="array" aca="1" ref="AH32" ca="1">IF($B32="","",IF(ISBLANK(INDIRECT("R7.Video!D"&amp;SUM(18,38*7,13))),"",INDIRECT("R7.Video!D"&amp;SUM(18,38*7,13))))</f>
        <v/>
      </c>
      <c r="AI32" s="215" t="str" cm="1">
        <f t="array" aca="1" ref="AI32" ca="1">IF($B32="","",IF(ISBLANK(INDIRECT("R7.Video!D"&amp;SUM(18,38*8,13))),"",INDIRECT("R7.Video!D"&amp;SUM(18,38*8,13))))</f>
        <v/>
      </c>
      <c r="AJ32" s="215" t="str" cm="1">
        <f t="array" aca="1" ref="AJ32" ca="1">IF($B32="","",IF(ISBLANK(INDIRECT("R9.Web!D"&amp;SUM(18,38*0,13))),"",INDIRECT("R9.Web!D"&amp;SUM(18,38*0,13))))</f>
        <v/>
      </c>
      <c r="AK32" s="215" t="str" cm="1">
        <f t="array" aca="1" ref="AK32" ca="1">IF($B32="","",IF(ISBLANK(INDIRECT("R9.Web!D"&amp;SUM(18,38*1,13))),"",INDIRECT("R9.Web!D"&amp;SUM(18,38*1,13))))</f>
        <v/>
      </c>
      <c r="AL32" s="215" t="str" cm="1">
        <f t="array" aca="1" ref="AL32" ca="1">IF($B32="","",IF(ISBLANK(INDIRECT("R9.Web!D"&amp;SUM(18,38*2,13))),"",INDIRECT("R9.Web!D"&amp;SUM(18,38*2,13))))</f>
        <v/>
      </c>
      <c r="AM32" s="215" t="str" cm="1">
        <f t="array" aca="1" ref="AM32" ca="1">IF($B32="","",IF(ISBLANK(INDIRECT("R9.Web!D"&amp;SUM(18,38*3,13))),"",INDIRECT("R9.Web!D"&amp;SUM(18,38*3,13))))</f>
        <v/>
      </c>
      <c r="AN32" s="215" t="str" cm="1">
        <f t="array" aca="1" ref="AN32" ca="1">IF($B32="","",IF(ISBLANK(INDIRECT("R9.Web!D"&amp;SUM(18,38*4,13))),"",INDIRECT("R9.Web!D"&amp;SUM(18,38*4,13))))</f>
        <v/>
      </c>
      <c r="AO32" s="215" t="str" cm="1">
        <f t="array" aca="1" ref="AO32" ca="1">IF($B32="","",IF(ISBLANK(INDIRECT("R9.Web!D"&amp;SUM(18,38*5,13))),"",INDIRECT("R9.Web!D"&amp;SUM(18,38*5,13))))</f>
        <v/>
      </c>
      <c r="AP32" s="215" t="str" cm="1">
        <f t="array" aca="1" ref="AP32" ca="1">IF($B32="","",IF(ISBLANK(INDIRECT("R9.Web!D"&amp;SUM(18,38*6,13))),"",INDIRECT("R9.Web!D"&amp;SUM(18,38*6,13))))</f>
        <v/>
      </c>
      <c r="AQ32" s="215" t="str" cm="1">
        <f t="array" aca="1" ref="AQ32" ca="1">IF($B32="","",IF(ISBLANK(INDIRECT("R9.Web!D"&amp;SUM(18,38*7,13))),"",INDIRECT("R9.Web!D"&amp;SUM(18,38*7,13))))</f>
        <v/>
      </c>
      <c r="AR32" s="215" t="str" cm="1">
        <f t="array" aca="1" ref="AR32" ca="1">IF($B32="","",IF(ISBLANK(INDIRECT("R9.Web!D"&amp;SUM(18,38*8,13))),"",INDIRECT("R9.Web!D"&amp;SUM(18,38*8,13))))</f>
        <v/>
      </c>
      <c r="AS32" s="215" t="str" cm="1">
        <f t="array" aca="1" ref="AS32" ca="1">IF($B32="","",IF(ISBLANK(INDIRECT("R9.Web!D"&amp;SUM(18,38*9,13))),"",INDIRECT("R9.Web!D"&amp;SUM(18,38*9,13))))</f>
        <v/>
      </c>
      <c r="AT32" s="215" t="str" cm="1">
        <f t="array" aca="1" ref="AT32" ca="1">IF($B32="","",IF(ISBLANK(INDIRECT("R9.Web!D"&amp;SUM(18,38*10,13))),"",INDIRECT("R9.Web!D"&amp;SUM(18,38*10,13))))</f>
        <v/>
      </c>
      <c r="AU32" s="215" t="str" cm="1">
        <f t="array" aca="1" ref="AU32" ca="1">IF($B32="","",IF(ISBLANK(INDIRECT("R9.Web!D"&amp;SUM(18,38*11,13))),"",INDIRECT("R9.Web!D"&amp;SUM(18,38*11,13))))</f>
        <v/>
      </c>
      <c r="AV32" s="215" t="str" cm="1">
        <f t="array" aca="1" ref="AV32" ca="1">IF($B32="","",IF(ISBLANK(INDIRECT("R9.Web!D"&amp;SUM(18,38*12,13))),"",INDIRECT("R9.Web!D"&amp;SUM(18,38*12,13))))</f>
        <v/>
      </c>
      <c r="AW32" s="215" t="str" cm="1">
        <f t="array" aca="1" ref="AW32" ca="1">IF($B32="","",IF(ISBLANK(INDIRECT("R9.Web!D"&amp;SUM(18,38*13,13))),"",INDIRECT("R9.Web!D"&amp;SUM(18,38*13,13))))</f>
        <v/>
      </c>
      <c r="AX32" s="215" t="str" cm="1">
        <f t="array" aca="1" ref="AX32" ca="1">IF($B32="","",IF(ISBLANK(INDIRECT("R9.Web!D"&amp;SUM(18,38*14,13))),"",INDIRECT("R9.Web!D"&amp;SUM(18,38*14,13))))</f>
        <v/>
      </c>
      <c r="AY32" s="215" t="str" cm="1">
        <f t="array" aca="1" ref="AY32" ca="1">IF($B32="","",IF(ISBLANK(INDIRECT("R9.Web!D"&amp;SUM(18,38*15,13))),"",INDIRECT("R9.Web!D"&amp;SUM(18,38*15,13))))</f>
        <v/>
      </c>
      <c r="AZ32" s="215" t="str" cm="1">
        <f t="array" aca="1" ref="AZ32" ca="1">IF($B32="","",IF(ISBLANK(INDIRECT("R9.Web!D"&amp;SUM(18,38*16,13))),"",INDIRECT("R9.Web!D"&amp;SUM(18,38*16,13))))</f>
        <v/>
      </c>
      <c r="BA32" s="215" t="str" cm="1">
        <f t="array" aca="1" ref="BA32" ca="1">IF($B32="","",IF(ISBLANK(INDIRECT("R9.Web!D"&amp;SUM(18,38*17,13))),"",INDIRECT("R9.Web!D"&amp;SUM(18,38*17,13))))</f>
        <v/>
      </c>
      <c r="BB32" s="215" t="str" cm="1">
        <f t="array" aca="1" ref="BB32" ca="1">IF($B32="","",IF(ISBLANK(INDIRECT("R9.Web!D"&amp;SUM(18,38*18,13))),"",INDIRECT("R9.Web!D"&amp;SUM(18,38*18,13))))</f>
        <v/>
      </c>
      <c r="BC32" s="215" t="str" cm="1">
        <f t="array" aca="1" ref="BC32" ca="1">IF($B32="","",IF(ISBLANK(INDIRECT("R9.Web!D"&amp;SUM(18,38*19,13))),"",INDIRECT("R9.Web!D"&amp;SUM(18,38*19,13))))</f>
        <v/>
      </c>
      <c r="BD32" s="215" t="str" cm="1">
        <f t="array" aca="1" ref="BD32" ca="1">IF($B32="","",IF(ISBLANK(INDIRECT("R9.Web!D"&amp;SUM(18,38*20,13))),"",INDIRECT("R9.Web!D"&amp;SUM(18,38*20,13))))</f>
        <v/>
      </c>
      <c r="BE32" s="215" t="str" cm="1">
        <f t="array" aca="1" ref="BE32" ca="1">IF($B32="","",IF(ISBLANK(INDIRECT("R9.Web!D"&amp;SUM(18,38*21,13))),"",INDIRECT("R9.Web!D"&amp;SUM(18,38*21,13))))</f>
        <v/>
      </c>
      <c r="BF32" s="215" t="str" cm="1">
        <f t="array" aca="1" ref="BF32" ca="1">IF($B32="","",IF(ISBLANK(INDIRECT("R9.Web!D"&amp;SUM(18,38*22,13))),"",INDIRECT("R9.Web!D"&amp;SUM(18,38*22,13))))</f>
        <v/>
      </c>
      <c r="BG32" s="215" t="str" cm="1">
        <f t="array" aca="1" ref="BG32" ca="1">IF($B32="","",IF(ISBLANK(INDIRECT("R9.Web!D"&amp;SUM(18,38*23,13))),"",INDIRECT("R9.Web!D"&amp;SUM(18,38*23,13))))</f>
        <v/>
      </c>
      <c r="BH32" s="215" t="str" cm="1">
        <f t="array" aca="1" ref="BH32" ca="1">IF($B32="","",IF(ISBLANK(INDIRECT("R9.Web!D"&amp;SUM(18,38*24,13))),"",INDIRECT("R9.Web!D"&amp;SUM(18,38*24,13))))</f>
        <v/>
      </c>
      <c r="BI32" s="215" t="str" cm="1">
        <f t="array" aca="1" ref="BI32" ca="1">IF($B32="","",IF(ISBLANK(INDIRECT("R9.Web!D"&amp;SUM(18,38*25,13))),"",INDIRECT("R9.Web!D"&amp;SUM(18,38*25,13))))</f>
        <v/>
      </c>
      <c r="BJ32" s="215" t="str" cm="1">
        <f t="array" aca="1" ref="BJ32" ca="1">IF($B32="","",IF(ISBLANK(INDIRECT("R9.Web!D"&amp;SUM(18,38*26,13))),"",INDIRECT("R9.Web!D"&amp;SUM(18,38*26,13))))</f>
        <v/>
      </c>
      <c r="BK32" s="215" t="str" cm="1">
        <f t="array" aca="1" ref="BK32" ca="1">IF($B32="","",IF(ISBLANK(INDIRECT("R9.Web!D"&amp;SUM(18,38*27,13))),"",INDIRECT("R9.Web!D"&amp;SUM(18,38*27,13))))</f>
        <v/>
      </c>
      <c r="BL32" s="215" t="str" cm="1">
        <f t="array" aca="1" ref="BL32" ca="1">IF($B32="","",IF(ISBLANK(INDIRECT("R9.Web!D"&amp;SUM(18,38*28,13))),"",INDIRECT("R9.Web!D"&amp;SUM(18,38*28,13))))</f>
        <v/>
      </c>
      <c r="BM32" s="215" t="str" cm="1">
        <f t="array" aca="1" ref="BM32" ca="1">IF($B32="","",IF(ISBLANK(INDIRECT("R9.Web!D"&amp;SUM(18,38*29,13))),"",INDIRECT("R9.Web!D"&amp;SUM(18,38*29,13))))</f>
        <v/>
      </c>
      <c r="BN32" s="215" t="str" cm="1">
        <f t="array" aca="1" ref="BN32" ca="1">IF($B32="","",IF(ISBLANK(INDIRECT("R9.Web!D"&amp;SUM(18,38*30,13))),"",INDIRECT("R9.Web!D"&amp;SUM(18,38*30,13))))</f>
        <v/>
      </c>
      <c r="BO32" s="215" t="str" cm="1">
        <f t="array" aca="1" ref="BO32" ca="1">IF($B32="","",IF(ISBLANK(INDIRECT("R9.Web!D"&amp;SUM(18,38*31,13))),"",INDIRECT("R9.Web!D"&amp;SUM(18,38*31,13))))</f>
        <v/>
      </c>
      <c r="BP32" s="215" t="str" cm="1">
        <f t="array" aca="1" ref="BP32" ca="1">IF($B32="","",IF(ISBLANK(INDIRECT("R9.Web!D"&amp;SUM(18,38*32,13))),"",INDIRECT("R9.Web!D"&amp;SUM(18,38*32,13))))</f>
        <v/>
      </c>
      <c r="BQ32" s="215" t="str" cm="1">
        <f t="array" aca="1" ref="BQ32" ca="1">IF($B32="","",IF(ISBLANK(INDIRECT("R9.Web!D"&amp;SUM(18,38*33,13))),"",INDIRECT("R9.Web!D"&amp;SUM(18,38*33,13))))</f>
        <v/>
      </c>
      <c r="BR32" s="215" t="str" cm="1">
        <f t="array" aca="1" ref="BR32" ca="1">IF($B32="","",IF(ISBLANK(INDIRECT("R9.Web!D"&amp;SUM(18,38*34,13))),"",INDIRECT("R9.Web!D"&amp;SUM(18,38*34,13))))</f>
        <v/>
      </c>
      <c r="BS32" s="215" t="str" cm="1">
        <f t="array" aca="1" ref="BS32" ca="1">IF($B32="","",IF(ISBLANK(INDIRECT("R9.Web!D"&amp;SUM(18,38*35,13))),"",INDIRECT("R9.Web!D"&amp;SUM(18,38*35,13))))</f>
        <v/>
      </c>
      <c r="BT32" s="215" t="str" cm="1">
        <f t="array" aca="1" ref="BT32" ca="1">IF($B32="","",IF(ISBLANK(INDIRECT("R9.Web!D"&amp;SUM(18,38*36,13))),"",INDIRECT("R9.Web!D"&amp;SUM(18,38*36,13))))</f>
        <v/>
      </c>
      <c r="BU32" s="215" t="str" cm="1">
        <f t="array" aca="1" ref="BU32" ca="1">IF($B32="","",IF(ISBLANK(INDIRECT("R9.Web!D"&amp;SUM(18,38*37,13))),"",INDIRECT("R9.Web!D"&amp;SUM(18,38*37,13))))</f>
        <v/>
      </c>
      <c r="BV32" s="215" t="str" cm="1">
        <f t="array" aca="1" ref="BV32" ca="1">IF($B32="","",IF(ISBLANK(INDIRECT("R9.Web!D"&amp;SUM(18,38*38,13))),"",INDIRECT("R9.Web!D"&amp;SUM(18,38*38,13))))</f>
        <v/>
      </c>
      <c r="BW32" s="215" t="str" cm="1">
        <f t="array" aca="1" ref="BW32" ca="1">IF($B32="","",IF(ISBLANK(INDIRECT("R9.Web!D"&amp;SUM(18,38*39,13))),"",INDIRECT("R9.Web!D"&amp;SUM(18,38*39,13))))</f>
        <v/>
      </c>
      <c r="BX32" s="215" t="str" cm="1">
        <f t="array" aca="1" ref="BX32" ca="1">IF($B32="","",IF(ISBLANK(INDIRECT("R9.Web!D"&amp;SUM(18,38*40,13))),"",INDIRECT("R9.Web!D"&amp;SUM(18,38*40,13))))</f>
        <v/>
      </c>
      <c r="BY32" s="215" t="str" cm="1">
        <f t="array" aca="1" ref="BY32" ca="1">IF($B32="","",IF(ISBLANK(INDIRECT("R9.Web!D"&amp;SUM(18,38*41,13))),"",INDIRECT("R9.Web!D"&amp;SUM(18,38*41,13))))</f>
        <v/>
      </c>
      <c r="BZ32" s="215" t="str" cm="1">
        <f t="array" aca="1" ref="BZ32" ca="1">IF($B32="","",IF(ISBLANK(INDIRECT("R9.Web!D"&amp;SUM(18,38*42,13))),"",INDIRECT("R9.Web!D"&amp;SUM(18,38*42,13))))</f>
        <v/>
      </c>
      <c r="CA32" s="215" t="str" cm="1">
        <f t="array" aca="1" ref="CA32" ca="1">IF($B32="","",IF(ISBLANK(INDIRECT("R9.Web!D"&amp;SUM(18,38*43,13))),"",INDIRECT("R9.Web!D"&amp;SUM(18,38*43,13))))</f>
        <v/>
      </c>
      <c r="CB32" s="215" t="str" cm="1">
        <f t="array" aca="1" ref="CB32" ca="1">IF($B32="","",IF(ISBLANK(INDIRECT("R9.Web!D"&amp;SUM(18,38*44,13))),"",INDIRECT("R9.Web!D"&amp;SUM(18,38*44,13))))</f>
        <v/>
      </c>
      <c r="CC32" s="215" t="str" cm="1">
        <f t="array" aca="1" ref="CC32" ca="1">IF($B32="","",IF(ISBLANK(INDIRECT("R9.Web!D"&amp;SUM(18,38*45,13))),"",INDIRECT("R9.Web!D"&amp;SUM(18,38*45,13))))</f>
        <v/>
      </c>
      <c r="CD32" s="215" t="str" cm="1">
        <f t="array" aca="1" ref="CD32" ca="1">IF($B32="","",IF(ISBLANK(INDIRECT("R9.Web!D"&amp;SUM(18,38*46,13))),"",INDIRECT("R9.Web!D"&amp;SUM(18,38*46,13))))</f>
        <v/>
      </c>
      <c r="CE32" s="215" t="str" cm="1">
        <f t="array" aca="1" ref="CE32" ca="1">IF($B32="","",IF(ISBLANK(INDIRECT("R9.Web!D"&amp;SUM(18,38*47,13))),"",INDIRECT("R9.Web!D"&amp;SUM(18,38*47,13))))</f>
        <v/>
      </c>
      <c r="CF32" s="215" t="str" cm="1">
        <f t="array" aca="1" ref="CF32" ca="1">IF($B32="","",IF(ISBLANK(INDIRECT("R9.Web!D"&amp;SUM(18,38*48,13))),"",INDIRECT("R9.Web!D"&amp;SUM(18,38*48,13))))</f>
        <v/>
      </c>
      <c r="CG32" s="215" t="str" cm="1">
        <f t="array" aca="1" ref="CG32" ca="1">IF($B32="","",IF(ISBLANK(INDIRECT("R9.Web!D"&amp;SUM(18,38*49,13))),"",INDIRECT("R9.Web!D"&amp;SUM(18,38*49,13))))</f>
        <v/>
      </c>
      <c r="CH32" s="215" t="str" cm="1">
        <f t="array" aca="1" ref="CH32" ca="1">IF($B32="","",IF(ISBLANK(INDIRECT("R11.Software!D"&amp;SUM(18,38*0,13))),"",INDIRECT("R11.Software!D"&amp;SUM(18,38*0,13))))</f>
        <v/>
      </c>
      <c r="CI32" s="215" t="str" cm="1">
        <f t="array" aca="1" ref="CI32" ca="1">IF($B32="","",IF(ISBLANK(INDIRECT("R11.Software!D"&amp;SUM(18,38*1,13))),"",INDIRECT("R11.Software!D"&amp;SUM(18,38*1,13))))</f>
        <v/>
      </c>
      <c r="CJ32" s="215" t="str" cm="1">
        <f t="array" aca="1" ref="CJ32" ca="1">IF($B32="","",IF(ISBLANK(INDIRECT("R11.Software!D"&amp;SUM(18,38*2,13))),"",INDIRECT("R11.Software!D"&amp;SUM(18,38*2,13))))</f>
        <v/>
      </c>
      <c r="CK32" s="215" t="str" cm="1">
        <f t="array" aca="1" ref="CK32" ca="1">IF($B32="","",IF(ISBLANK(INDIRECT("R11.Software!D"&amp;SUM(18,38*3,13))),"",INDIRECT("R11.Software!D"&amp;SUM(18,38*3,13))))</f>
        <v/>
      </c>
      <c r="CL32" s="215" t="str" cm="1">
        <f t="array" aca="1" ref="CL32" ca="1">IF($B32="","",IF(ISBLANK(INDIRECT("R11.Software!D"&amp;SUM(18,38*4,13))),"",INDIRECT("R11.Software!D"&amp;SUM(18,38*4,13))))</f>
        <v/>
      </c>
      <c r="CM32" s="215" t="str" cm="1">
        <f t="array" aca="1" ref="CM32" ca="1">IF($B32="","",IF(ISBLANK(INDIRECT("R11.Software!D"&amp;SUM(18,38*5,13))),"",INDIRECT("R11.Software!D"&amp;SUM(18,38*5,13))))</f>
        <v/>
      </c>
      <c r="CN32" s="215" t="str" cm="1">
        <f t="array" aca="1" ref="CN32" ca="1">IF($B32="","",IF(ISBLANK(INDIRECT("R12.ServiciosApoyo!D"&amp;SUM(18,38*0,13))),"",INDIRECT("R12.ServiciosApoyo!D"&amp;SUM(18,38*0,13))))</f>
        <v/>
      </c>
      <c r="CO32" s="215" t="str" cm="1">
        <f t="array" aca="1" ref="CO32" ca="1">IF($B32="","",IF(ISBLANK(INDIRECT("R12.ServiciosApoyo!D"&amp;SUM(18,38*1,13))),"",INDIRECT("R12.ServiciosApoyo!D"&amp;SUM(18,38*1,13))))</f>
        <v/>
      </c>
      <c r="CP32" s="215" t="str" cm="1">
        <f t="array" aca="1" ref="CP32" ca="1">IF($B32="","",IF(ISBLANK(INDIRECT("R12.ServiciosApoyo!D"&amp;SUM(18,38*2,13))),"",INDIRECT("R12.ServiciosApoyo!D"&amp;SUM(18,38*2,13))))</f>
        <v/>
      </c>
      <c r="CQ32" s="215" t="str" cm="1">
        <f t="array" aca="1" ref="CQ32" ca="1">IF($B32="","",IF(ISBLANK(INDIRECT("R12.ServiciosApoyo!D"&amp;SUM(18,38*3,13))),"",INDIRECT("R12.ServiciosApoyo!D"&amp;SUM(18,38*3,13))))</f>
        <v/>
      </c>
      <c r="CR32" s="215" t="str" cm="1">
        <f t="array" aca="1" ref="CR32" ca="1">IF($B32="","",IF(ISBLANK(INDIRECT("R12.ServiciosApoyo!D"&amp;SUM(18,38*4,13))),"",INDIRECT("R12.ServiciosApoyo!D"&amp;SUM(18,38*4,13))))</f>
        <v/>
      </c>
      <c r="CU32" s="100"/>
      <c r="CV32" s="29"/>
      <c r="CW32" s="29"/>
      <c r="CX32" s="29"/>
    </row>
    <row r="33" spans="2:102" ht="20.5">
      <c r="B33" s="181" t="str" cm="1">
        <f t="array" ref="B33">IFERROR(INDEX('03.Muestra'!$B$8:$B$42,SMALL(IF("Página Web"='03.Muestra'!$D$8:$D$42,ROW('03.Muestra'!$B$8:$B$42)-MIN(ROW('03.Muestra'!$D$8:$D$42))+1,""),ROW()-19)),"")</f>
        <v/>
      </c>
      <c r="C33" s="97" t="str" cm="1">
        <f t="array" ref="C33">IFERROR(INDEX('03.Muestra'!$C$8:$C$42,SMALL(IF("Página Web"='03.Muestra'!$D$8:$D$42,ROW('03.Muestra'!$C$8:$C$42)-MIN(ROW('03.Muestra'!$D$8:$D$42))+1,""),ROW()-19)),"")</f>
        <v/>
      </c>
      <c r="D33" s="98" t="str" cm="1">
        <f t="array" ref="D33">IFERROR(INDEX('03.Muestra'!$F$8:$F$42,SMALL(IF("Página Web"='03.Muestra'!$D$8:$D$42,ROW('03.Muestra'!$F$8:$F$42)-MIN(ROW('03.Muestra'!$D$8:$D$42))+1,""),ROW()-19)),"")</f>
        <v/>
      </c>
      <c r="E33" s="215" t="str" cm="1">
        <f t="array" aca="1" ref="E33" ca="1">IF($B33="","",IF(ISBLANK(INDIRECT("R5.Genéricos!D"&amp;SUM(18,38*0,14))),"",INDIRECT("R5.Genéricos!D"&amp;SUM(18,38*0,14))))</f>
        <v/>
      </c>
      <c r="F33" s="215" t="str" cm="1">
        <f t="array" aca="1" ref="F33" ca="1">IF($B33="","",IF(ISBLANK(INDIRECT("R5.Genéricos!D"&amp;SUM(18,38*1,14))),"",INDIRECT("R5.Genéricos!D"&amp;SUM(18,38*1,14))))</f>
        <v/>
      </c>
      <c r="G33" s="215" t="str" cm="1">
        <f t="array" aca="1" ref="G33" ca="1">IF($B33="","",IF(ISBLANK(INDIRECT("R5.Genéricos!D"&amp;SUM(18,38*2,14))),"",INDIRECT("R5.Genéricos!D"&amp;SUM(18,38*2,14))))</f>
        <v/>
      </c>
      <c r="H33" s="215" t="str" cm="1">
        <f t="array" aca="1" ref="H33" ca="1">IF($B33="","",IF(ISBLANK(INDIRECT("R6.Voz!D"&amp;SUM(18,38*0,14))),"",INDIRECT("R6.Voz!D"&amp;SUM(18,38*0,14))))</f>
        <v/>
      </c>
      <c r="I33" s="215" t="str" cm="1">
        <f t="array" aca="1" ref="I33" ca="1">IF($B33="","",IF(ISBLANK(INDIRECT("R6.Voz!D"&amp;SUM(18,38*1,14))),"",INDIRECT("R6.Voz!D"&amp;SUM(18,38*1,14))))</f>
        <v/>
      </c>
      <c r="J33" s="215" t="str" cm="1">
        <f t="array" aca="1" ref="J33" ca="1">IF($B33="","",IF(ISBLANK(INDIRECT("R6.Voz!D"&amp;SUM(18,38*2,14))),"",INDIRECT("R6.Voz!D"&amp;SUM(18,38*2,14))))</f>
        <v/>
      </c>
      <c r="K33" s="215" t="str" cm="1">
        <f t="array" aca="1" ref="K33" ca="1">IF($B33="","",IF(ISBLANK(INDIRECT("R6.Voz!D"&amp;SUM(18,38*3,14))),"",INDIRECT("R6.Voz!D"&amp;SUM(18,38*3,14))))</f>
        <v/>
      </c>
      <c r="L33" s="215" t="str" cm="1">
        <f t="array" aca="1" ref="L33" ca="1">IF($B33="","",IF(ISBLANK(INDIRECT("R6.Voz!D"&amp;SUM(18,38*4,14))),"",INDIRECT("R6.Voz!D"&amp;SUM(18,38*4,14))))</f>
        <v/>
      </c>
      <c r="M33" s="215" t="str" cm="1">
        <f t="array" aca="1" ref="M33" ca="1">IF($B33="","",IF(ISBLANK(INDIRECT("R6.Voz!D"&amp;SUM(18,38*5,14))),"",INDIRECT("R6.Voz!D"&amp;SUM(18,38*5,14))))</f>
        <v/>
      </c>
      <c r="N33" s="215" t="str" cm="1">
        <f t="array" aca="1" ref="N33" ca="1">IF($B33="","",IF(ISBLANK(INDIRECT("R6.Voz!D"&amp;SUM(18,38*6,14))),"",INDIRECT("R6.Voz!D"&amp;SUM(18,38*6,14))))</f>
        <v/>
      </c>
      <c r="O33" s="215" t="str" cm="1">
        <f t="array" aca="1" ref="O33" ca="1">IF($B33="","",IF(ISBLANK(INDIRECT("R6.Voz!D"&amp;SUM(18,38*7,14))),"",INDIRECT("R6.Voz!D"&amp;SUM(18,38*7,14))))</f>
        <v/>
      </c>
      <c r="P33" s="215" t="str" cm="1">
        <f t="array" aca="1" ref="P33" ca="1">IF($B33="","",IF(ISBLANK(INDIRECT("R6.Voz!D"&amp;SUM(18,38*8,14))),"",INDIRECT("R6.Voz!D"&amp;SUM(18,38*8,14))))</f>
        <v/>
      </c>
      <c r="Q33" s="215" t="str" cm="1">
        <f t="array" aca="1" ref="Q33" ca="1">IF($B33="","",IF(ISBLANK(INDIRECT("R6.Voz!D"&amp;SUM(18,38*9,14))),"",INDIRECT("R6.Voz!D"&amp;SUM(18,38*9,14))))</f>
        <v/>
      </c>
      <c r="R33" s="215" t="str" cm="1">
        <f t="array" aca="1" ref="R33" ca="1">IF($B33="","",IF(ISBLANK(INDIRECT("R6.Voz!D"&amp;SUM(18,38*10,14))),"",INDIRECT("R6.Voz!D"&amp;SUM(18,38*10,14))))</f>
        <v/>
      </c>
      <c r="S33" s="215" t="str" cm="1">
        <f t="array" aca="1" ref="S33" ca="1">IF($B33="","",IF(ISBLANK(INDIRECT("R6.Voz!D"&amp;SUM(18,38*11,14))),"",INDIRECT("R6.Voz!D"&amp;SUM(18,38*11,14))))</f>
        <v/>
      </c>
      <c r="T33" s="215" t="str" cm="1">
        <f t="array" aca="1" ref="T33" ca="1">IF($B33="","",IF(ISBLANK(INDIRECT("R6.Voz!D"&amp;SUM(18,38*12,14))),"",INDIRECT("R6.Voz!D"&amp;SUM(18,38*12,14))))</f>
        <v/>
      </c>
      <c r="U33" s="215" t="str" cm="1">
        <f t="array" aca="1" ref="U33" ca="1">IF($B33="","",IF(ISBLANK(INDIRECT("R6.Voz!D"&amp;SUM(18,38*13,14))),"",INDIRECT("R6.Voz!D"&amp;SUM(18,38*13,14))))</f>
        <v/>
      </c>
      <c r="V33" s="215" t="str" cm="1">
        <f t="array" aca="1" ref="V33" ca="1">IF($B33="","",IF(ISBLANK(INDIRECT("R6.Voz!D"&amp;SUM(18,38*14,14))),"",INDIRECT("R6.Voz!D"&amp;SUM(18,38*14,14))))</f>
        <v/>
      </c>
      <c r="W33" s="215" t="str" cm="1">
        <f t="array" aca="1" ref="W33" ca="1">IF($B33="","",IF(ISBLANK(INDIRECT("R6.Voz!D"&amp;SUM(18,38*15,14))),"",INDIRECT("R6.Voz!D"&amp;SUM(18,38*15,14))))</f>
        <v/>
      </c>
      <c r="X33" s="215" t="str" cm="1">
        <f t="array" aca="1" ref="X33" ca="1">IF($B33="","",IF(ISBLANK(INDIRECT("R6.Voz!D"&amp;SUM(18,38*16,14))),"",INDIRECT("R6.Voz!D"&amp;SUM(18,38*16,14))))</f>
        <v/>
      </c>
      <c r="Y33" s="215" t="str" cm="1">
        <f t="array" aca="1" ref="Y33" ca="1">IF($B33="","",IF(ISBLANK(INDIRECT("R6.Voz!D"&amp;SUM(18,38*17,14))),"",INDIRECT("R6.Voz!D"&amp;SUM(18,38*17,14))))</f>
        <v/>
      </c>
      <c r="Z33" s="215" t="str" cm="1">
        <f t="array" aca="1" ref="Z33" ca="1">IF($B33="","",IF(ISBLANK(INDIRECT("R6.Voz!D"&amp;SUM(18,38*18,14))),"",INDIRECT("R6.Voz!D"&amp;SUM(18,38*18,14))))</f>
        <v/>
      </c>
      <c r="AA33" s="215" t="str" cm="1">
        <f t="array" aca="1" ref="AA33" ca="1">IF($B33="","",IF(ISBLANK(INDIRECT("R7.Video!D"&amp;SUM(18,38*0,14))),"",INDIRECT("R7.Video!D"&amp;SUM(18,38*0,14))))</f>
        <v/>
      </c>
      <c r="AB33" s="215" t="str" cm="1">
        <f t="array" aca="1" ref="AB33" ca="1">IF($B33="","",IF(ISBLANK(INDIRECT("R7.Video!D"&amp;SUM(18,38*1,14))),"",INDIRECT("R7.Video!D"&amp;SUM(18,38*1,14))))</f>
        <v/>
      </c>
      <c r="AC33" s="215" t="str" cm="1">
        <f t="array" aca="1" ref="AC33" ca="1">IF($B33="","",IF(ISBLANK(INDIRECT("R7.Video!D"&amp;SUM(18,38*2,14))),"",INDIRECT("R7.Video!D"&amp;SUM(18,38*2,14))))</f>
        <v/>
      </c>
      <c r="AD33" s="215" t="str" cm="1">
        <f t="array" aca="1" ref="AD33" ca="1">IF($B33="","",IF(ISBLANK(INDIRECT("R7.Video!D"&amp;SUM(18,38*3,14))),"",INDIRECT("R7.Video!D"&amp;SUM(18,38*3,14))))</f>
        <v/>
      </c>
      <c r="AE33" s="215" t="str" cm="1">
        <f t="array" aca="1" ref="AE33" ca="1">IF($B33="","",IF(ISBLANK(INDIRECT("R7.Video!D"&amp;SUM(18,38*4,14))),"",INDIRECT("R7.Video!D"&amp;SUM(18,38*4,14))))</f>
        <v/>
      </c>
      <c r="AF33" s="215" t="str" cm="1">
        <f t="array" aca="1" ref="AF33" ca="1">IF($B33="","",IF(ISBLANK(INDIRECT("R7.Video!D"&amp;SUM(18,38*5,14))),"",INDIRECT("R7.Video!D"&amp;SUM(18,38*5,14))))</f>
        <v/>
      </c>
      <c r="AG33" s="215" t="str" cm="1">
        <f t="array" aca="1" ref="AG33" ca="1">IF($B33="","",IF(ISBLANK(INDIRECT("R7.Video!D"&amp;SUM(18,38*6,14))),"",INDIRECT("R7.Video!D"&amp;SUM(18,38*6,14))))</f>
        <v/>
      </c>
      <c r="AH33" s="215" t="str" cm="1">
        <f t="array" aca="1" ref="AH33" ca="1">IF($B33="","",IF(ISBLANK(INDIRECT("R7.Video!D"&amp;SUM(18,38*7,14))),"",INDIRECT("R7.Video!D"&amp;SUM(18,38*7,14))))</f>
        <v/>
      </c>
      <c r="AI33" s="215" t="str" cm="1">
        <f t="array" aca="1" ref="AI33" ca="1">IF($B33="","",IF(ISBLANK(INDIRECT("R7.Video!D"&amp;SUM(18,38*8,14))),"",INDIRECT("R7.Video!D"&amp;SUM(18,38*8,14))))</f>
        <v/>
      </c>
      <c r="AJ33" s="215" t="str" cm="1">
        <f t="array" aca="1" ref="AJ33" ca="1">IF($B33="","",IF(ISBLANK(INDIRECT("R9.Web!D"&amp;SUM(18,38*0,14))),"",INDIRECT("R9.Web!D"&amp;SUM(18,38*0,14))))</f>
        <v/>
      </c>
      <c r="AK33" s="215" t="str" cm="1">
        <f t="array" aca="1" ref="AK33" ca="1">IF($B33="","",IF(ISBLANK(INDIRECT("R9.Web!D"&amp;SUM(18,38*1,14))),"",INDIRECT("R9.Web!D"&amp;SUM(18,38*1,14))))</f>
        <v/>
      </c>
      <c r="AL33" s="215" t="str" cm="1">
        <f t="array" aca="1" ref="AL33" ca="1">IF($B33="","",IF(ISBLANK(INDIRECT("R9.Web!D"&amp;SUM(18,38*2,14))),"",INDIRECT("R9.Web!D"&amp;SUM(18,38*2,14))))</f>
        <v/>
      </c>
      <c r="AM33" s="215" t="str" cm="1">
        <f t="array" aca="1" ref="AM33" ca="1">IF($B33="","",IF(ISBLANK(INDIRECT("R9.Web!D"&amp;SUM(18,38*3,14))),"",INDIRECT("R9.Web!D"&amp;SUM(18,38*3,14))))</f>
        <v/>
      </c>
      <c r="AN33" s="215" t="str" cm="1">
        <f t="array" aca="1" ref="AN33" ca="1">IF($B33="","",IF(ISBLANK(INDIRECT("R9.Web!D"&amp;SUM(18,38*4,14))),"",INDIRECT("R9.Web!D"&amp;SUM(18,38*4,14))))</f>
        <v/>
      </c>
      <c r="AO33" s="215" t="str" cm="1">
        <f t="array" aca="1" ref="AO33" ca="1">IF($B33="","",IF(ISBLANK(INDIRECT("R9.Web!D"&amp;SUM(18,38*5,14))),"",INDIRECT("R9.Web!D"&amp;SUM(18,38*5,14))))</f>
        <v/>
      </c>
      <c r="AP33" s="215" t="str" cm="1">
        <f t="array" aca="1" ref="AP33" ca="1">IF($B33="","",IF(ISBLANK(INDIRECT("R9.Web!D"&amp;SUM(18,38*6,14))),"",INDIRECT("R9.Web!D"&amp;SUM(18,38*6,14))))</f>
        <v/>
      </c>
      <c r="AQ33" s="215" t="str" cm="1">
        <f t="array" aca="1" ref="AQ33" ca="1">IF($B33="","",IF(ISBLANK(INDIRECT("R9.Web!D"&amp;SUM(18,38*7,14))),"",INDIRECT("R9.Web!D"&amp;SUM(18,38*7,14))))</f>
        <v/>
      </c>
      <c r="AR33" s="215" t="str" cm="1">
        <f t="array" aca="1" ref="AR33" ca="1">IF($B33="","",IF(ISBLANK(INDIRECT("R9.Web!D"&amp;SUM(18,38*8,14))),"",INDIRECT("R9.Web!D"&amp;SUM(18,38*8,14))))</f>
        <v/>
      </c>
      <c r="AS33" s="215" t="str" cm="1">
        <f t="array" aca="1" ref="AS33" ca="1">IF($B33="","",IF(ISBLANK(INDIRECT("R9.Web!D"&amp;SUM(18,38*9,14))),"",INDIRECT("R9.Web!D"&amp;SUM(18,38*9,14))))</f>
        <v/>
      </c>
      <c r="AT33" s="215" t="str" cm="1">
        <f t="array" aca="1" ref="AT33" ca="1">IF($B33="","",IF(ISBLANK(INDIRECT("R9.Web!D"&amp;SUM(18,38*10,14))),"",INDIRECT("R9.Web!D"&amp;SUM(18,38*10,14))))</f>
        <v/>
      </c>
      <c r="AU33" s="215" t="str" cm="1">
        <f t="array" aca="1" ref="AU33" ca="1">IF($B33="","",IF(ISBLANK(INDIRECT("R9.Web!D"&amp;SUM(18,38*11,14))),"",INDIRECT("R9.Web!D"&amp;SUM(18,38*11,14))))</f>
        <v/>
      </c>
      <c r="AV33" s="215" t="str" cm="1">
        <f t="array" aca="1" ref="AV33" ca="1">IF($B33="","",IF(ISBLANK(INDIRECT("R9.Web!D"&amp;SUM(18,38*12,14))),"",INDIRECT("R9.Web!D"&amp;SUM(18,38*12,14))))</f>
        <v/>
      </c>
      <c r="AW33" s="215" t="str" cm="1">
        <f t="array" aca="1" ref="AW33" ca="1">IF($B33="","",IF(ISBLANK(INDIRECT("R9.Web!D"&amp;SUM(18,38*13,14))),"",INDIRECT("R9.Web!D"&amp;SUM(18,38*13,14))))</f>
        <v/>
      </c>
      <c r="AX33" s="215" t="str" cm="1">
        <f t="array" aca="1" ref="AX33" ca="1">IF($B33="","",IF(ISBLANK(INDIRECT("R9.Web!D"&amp;SUM(18,38*14,14))),"",INDIRECT("R9.Web!D"&amp;SUM(18,38*14,14))))</f>
        <v/>
      </c>
      <c r="AY33" s="215" t="str" cm="1">
        <f t="array" aca="1" ref="AY33" ca="1">IF($B33="","",IF(ISBLANK(INDIRECT("R9.Web!D"&amp;SUM(18,38*15,14))),"",INDIRECT("R9.Web!D"&amp;SUM(18,38*15,14))))</f>
        <v/>
      </c>
      <c r="AZ33" s="215" t="str" cm="1">
        <f t="array" aca="1" ref="AZ33" ca="1">IF($B33="","",IF(ISBLANK(INDIRECT("R9.Web!D"&amp;SUM(18,38*16,14))),"",INDIRECT("R9.Web!D"&amp;SUM(18,38*16,14))))</f>
        <v/>
      </c>
      <c r="BA33" s="215" t="str" cm="1">
        <f t="array" aca="1" ref="BA33" ca="1">IF($B33="","",IF(ISBLANK(INDIRECT("R9.Web!D"&amp;SUM(18,38*17,14))),"",INDIRECT("R9.Web!D"&amp;SUM(18,38*17,14))))</f>
        <v/>
      </c>
      <c r="BB33" s="215" t="str" cm="1">
        <f t="array" aca="1" ref="BB33" ca="1">IF($B33="","",IF(ISBLANK(INDIRECT("R9.Web!D"&amp;SUM(18,38*18,14))),"",INDIRECT("R9.Web!D"&amp;SUM(18,38*18,14))))</f>
        <v/>
      </c>
      <c r="BC33" s="215" t="str" cm="1">
        <f t="array" aca="1" ref="BC33" ca="1">IF($B33="","",IF(ISBLANK(INDIRECT("R9.Web!D"&amp;SUM(18,38*19,14))),"",INDIRECT("R9.Web!D"&amp;SUM(18,38*19,14))))</f>
        <v/>
      </c>
      <c r="BD33" s="215" t="str" cm="1">
        <f t="array" aca="1" ref="BD33" ca="1">IF($B33="","",IF(ISBLANK(INDIRECT("R9.Web!D"&amp;SUM(18,38*20,14))),"",INDIRECT("R9.Web!D"&amp;SUM(18,38*20,14))))</f>
        <v/>
      </c>
      <c r="BE33" s="215" t="str" cm="1">
        <f t="array" aca="1" ref="BE33" ca="1">IF($B33="","",IF(ISBLANK(INDIRECT("R9.Web!D"&amp;SUM(18,38*21,14))),"",INDIRECT("R9.Web!D"&amp;SUM(18,38*21,14))))</f>
        <v/>
      </c>
      <c r="BF33" s="215" t="str" cm="1">
        <f t="array" aca="1" ref="BF33" ca="1">IF($B33="","",IF(ISBLANK(INDIRECT("R9.Web!D"&amp;SUM(18,38*22,14))),"",INDIRECT("R9.Web!D"&amp;SUM(18,38*22,14))))</f>
        <v/>
      </c>
      <c r="BG33" s="215" t="str" cm="1">
        <f t="array" aca="1" ref="BG33" ca="1">IF($B33="","",IF(ISBLANK(INDIRECT("R9.Web!D"&amp;SUM(18,38*23,14))),"",INDIRECT("R9.Web!D"&amp;SUM(18,38*23,14))))</f>
        <v/>
      </c>
      <c r="BH33" s="215" t="str" cm="1">
        <f t="array" aca="1" ref="BH33" ca="1">IF($B33="","",IF(ISBLANK(INDIRECT("R9.Web!D"&amp;SUM(18,38*24,14))),"",INDIRECT("R9.Web!D"&amp;SUM(18,38*24,14))))</f>
        <v/>
      </c>
      <c r="BI33" s="215" t="str" cm="1">
        <f t="array" aca="1" ref="BI33" ca="1">IF($B33="","",IF(ISBLANK(INDIRECT("R9.Web!D"&amp;SUM(18,38*25,14))),"",INDIRECT("R9.Web!D"&amp;SUM(18,38*25,14))))</f>
        <v/>
      </c>
      <c r="BJ33" s="215" t="str" cm="1">
        <f t="array" aca="1" ref="BJ33" ca="1">IF($B33="","",IF(ISBLANK(INDIRECT("R9.Web!D"&amp;SUM(18,38*26,14))),"",INDIRECT("R9.Web!D"&amp;SUM(18,38*26,14))))</f>
        <v/>
      </c>
      <c r="BK33" s="215" t="str" cm="1">
        <f t="array" aca="1" ref="BK33" ca="1">IF($B33="","",IF(ISBLANK(INDIRECT("R9.Web!D"&amp;SUM(18,38*27,14))),"",INDIRECT("R9.Web!D"&amp;SUM(18,38*27,14))))</f>
        <v/>
      </c>
      <c r="BL33" s="215" t="str" cm="1">
        <f t="array" aca="1" ref="BL33" ca="1">IF($B33="","",IF(ISBLANK(INDIRECT("R9.Web!D"&amp;SUM(18,38*28,14))),"",INDIRECT("R9.Web!D"&amp;SUM(18,38*28,14))))</f>
        <v/>
      </c>
      <c r="BM33" s="215" t="str" cm="1">
        <f t="array" aca="1" ref="BM33" ca="1">IF($B33="","",IF(ISBLANK(INDIRECT("R9.Web!D"&amp;SUM(18,38*29,14))),"",INDIRECT("R9.Web!D"&amp;SUM(18,38*29,14))))</f>
        <v/>
      </c>
      <c r="BN33" s="215" t="str" cm="1">
        <f t="array" aca="1" ref="BN33" ca="1">IF($B33="","",IF(ISBLANK(INDIRECT("R9.Web!D"&amp;SUM(18,38*30,14))),"",INDIRECT("R9.Web!D"&amp;SUM(18,38*30,14))))</f>
        <v/>
      </c>
      <c r="BO33" s="215" t="str" cm="1">
        <f t="array" aca="1" ref="BO33" ca="1">IF($B33="","",IF(ISBLANK(INDIRECT("R9.Web!D"&amp;SUM(18,38*31,14))),"",INDIRECT("R9.Web!D"&amp;SUM(18,38*31,14))))</f>
        <v/>
      </c>
      <c r="BP33" s="215" t="str" cm="1">
        <f t="array" aca="1" ref="BP33" ca="1">IF($B33="","",IF(ISBLANK(INDIRECT("R9.Web!D"&amp;SUM(18,38*32,14))),"",INDIRECT("R9.Web!D"&amp;SUM(18,38*32,14))))</f>
        <v/>
      </c>
      <c r="BQ33" s="215" t="str" cm="1">
        <f t="array" aca="1" ref="BQ33" ca="1">IF($B33="","",IF(ISBLANK(INDIRECT("R9.Web!D"&amp;SUM(18,38*33,14))),"",INDIRECT("R9.Web!D"&amp;SUM(18,38*33,14))))</f>
        <v/>
      </c>
      <c r="BR33" s="215" t="str" cm="1">
        <f t="array" aca="1" ref="BR33" ca="1">IF($B33="","",IF(ISBLANK(INDIRECT("R9.Web!D"&amp;SUM(18,38*34,14))),"",INDIRECT("R9.Web!D"&amp;SUM(18,38*34,14))))</f>
        <v/>
      </c>
      <c r="BS33" s="215" t="str" cm="1">
        <f t="array" aca="1" ref="BS33" ca="1">IF($B33="","",IF(ISBLANK(INDIRECT("R9.Web!D"&amp;SUM(18,38*35,14))),"",INDIRECT("R9.Web!D"&amp;SUM(18,38*35,14))))</f>
        <v/>
      </c>
      <c r="BT33" s="215" t="str" cm="1">
        <f t="array" aca="1" ref="BT33" ca="1">IF($B33="","",IF(ISBLANK(INDIRECT("R9.Web!D"&amp;SUM(18,38*36,14))),"",INDIRECT("R9.Web!D"&amp;SUM(18,38*36,14))))</f>
        <v/>
      </c>
      <c r="BU33" s="215" t="str" cm="1">
        <f t="array" aca="1" ref="BU33" ca="1">IF($B33="","",IF(ISBLANK(INDIRECT("R9.Web!D"&amp;SUM(18,38*37,14))),"",INDIRECT("R9.Web!D"&amp;SUM(18,38*37,14))))</f>
        <v/>
      </c>
      <c r="BV33" s="215" t="str" cm="1">
        <f t="array" aca="1" ref="BV33" ca="1">IF($B33="","",IF(ISBLANK(INDIRECT("R9.Web!D"&amp;SUM(18,38*38,14))),"",INDIRECT("R9.Web!D"&amp;SUM(18,38*38,14))))</f>
        <v/>
      </c>
      <c r="BW33" s="215" t="str" cm="1">
        <f t="array" aca="1" ref="BW33" ca="1">IF($B33="","",IF(ISBLANK(INDIRECT("R9.Web!D"&amp;SUM(18,38*39,14))),"",INDIRECT("R9.Web!D"&amp;SUM(18,38*39,14))))</f>
        <v/>
      </c>
      <c r="BX33" s="215" t="str" cm="1">
        <f t="array" aca="1" ref="BX33" ca="1">IF($B33="","",IF(ISBLANK(INDIRECT("R9.Web!D"&amp;SUM(18,38*40,14))),"",INDIRECT("R9.Web!D"&amp;SUM(18,38*40,14))))</f>
        <v/>
      </c>
      <c r="BY33" s="215" t="str" cm="1">
        <f t="array" aca="1" ref="BY33" ca="1">IF($B33="","",IF(ISBLANK(INDIRECT("R9.Web!D"&amp;SUM(18,38*41,14))),"",INDIRECT("R9.Web!D"&amp;SUM(18,38*41,14))))</f>
        <v/>
      </c>
      <c r="BZ33" s="215" t="str" cm="1">
        <f t="array" aca="1" ref="BZ33" ca="1">IF($B33="","",IF(ISBLANK(INDIRECT("R9.Web!D"&amp;SUM(18,38*42,14))),"",INDIRECT("R9.Web!D"&amp;SUM(18,38*42,14))))</f>
        <v/>
      </c>
      <c r="CA33" s="215" t="str" cm="1">
        <f t="array" aca="1" ref="CA33" ca="1">IF($B33="","",IF(ISBLANK(INDIRECT("R9.Web!D"&amp;SUM(18,38*43,14))),"",INDIRECT("R9.Web!D"&amp;SUM(18,38*43,14))))</f>
        <v/>
      </c>
      <c r="CB33" s="215" t="str" cm="1">
        <f t="array" aca="1" ref="CB33" ca="1">IF($B33="","",IF(ISBLANK(INDIRECT("R9.Web!D"&amp;SUM(18,38*44,14))),"",INDIRECT("R9.Web!D"&amp;SUM(18,38*44,14))))</f>
        <v/>
      </c>
      <c r="CC33" s="215" t="str" cm="1">
        <f t="array" aca="1" ref="CC33" ca="1">IF($B33="","",IF(ISBLANK(INDIRECT("R9.Web!D"&amp;SUM(18,38*45,14))),"",INDIRECT("R9.Web!D"&amp;SUM(18,38*45,14))))</f>
        <v/>
      </c>
      <c r="CD33" s="215" t="str" cm="1">
        <f t="array" aca="1" ref="CD33" ca="1">IF($B33="","",IF(ISBLANK(INDIRECT("R9.Web!D"&amp;SUM(18,38*46,14))),"",INDIRECT("R9.Web!D"&amp;SUM(18,38*46,14))))</f>
        <v/>
      </c>
      <c r="CE33" s="215" t="str" cm="1">
        <f t="array" aca="1" ref="CE33" ca="1">IF($B33="","",IF(ISBLANK(INDIRECT("R9.Web!D"&amp;SUM(18,38*47,14))),"",INDIRECT("R9.Web!D"&amp;SUM(18,38*47,14))))</f>
        <v/>
      </c>
      <c r="CF33" s="215" t="str" cm="1">
        <f t="array" aca="1" ref="CF33" ca="1">IF($B33="","",IF(ISBLANK(INDIRECT("R9.Web!D"&amp;SUM(18,38*48,14))),"",INDIRECT("R9.Web!D"&amp;SUM(18,38*48,14))))</f>
        <v/>
      </c>
      <c r="CG33" s="215" t="str" cm="1">
        <f t="array" aca="1" ref="CG33" ca="1">IF($B33="","",IF(ISBLANK(INDIRECT("R9.Web!D"&amp;SUM(18,38*49,14))),"",INDIRECT("R9.Web!D"&amp;SUM(18,38*49,14))))</f>
        <v/>
      </c>
      <c r="CH33" s="215" t="str" cm="1">
        <f t="array" aca="1" ref="CH33" ca="1">IF($B33="","",IF(ISBLANK(INDIRECT("R11.Software!D"&amp;SUM(18,38*0,14))),"",INDIRECT("R11.Software!D"&amp;SUM(18,38*0,14))))</f>
        <v/>
      </c>
      <c r="CI33" s="215" t="str" cm="1">
        <f t="array" aca="1" ref="CI33" ca="1">IF($B33="","",IF(ISBLANK(INDIRECT("R11.Software!D"&amp;SUM(18,38*1,14))),"",INDIRECT("R11.Software!D"&amp;SUM(18,38*1,14))))</f>
        <v/>
      </c>
      <c r="CJ33" s="215" t="str" cm="1">
        <f t="array" aca="1" ref="CJ33" ca="1">IF($B33="","",IF(ISBLANK(INDIRECT("R11.Software!D"&amp;SUM(18,38*2,14))),"",INDIRECT("R11.Software!D"&amp;SUM(18,38*2,14))))</f>
        <v/>
      </c>
      <c r="CK33" s="215" t="str" cm="1">
        <f t="array" aca="1" ref="CK33" ca="1">IF($B33="","",IF(ISBLANK(INDIRECT("R11.Software!D"&amp;SUM(18,38*3,14))),"",INDIRECT("R11.Software!D"&amp;SUM(18,38*3,14))))</f>
        <v/>
      </c>
      <c r="CL33" s="215" t="str" cm="1">
        <f t="array" aca="1" ref="CL33" ca="1">IF($B33="","",IF(ISBLANK(INDIRECT("R11.Software!D"&amp;SUM(18,38*4,14))),"",INDIRECT("R11.Software!D"&amp;SUM(18,38*4,14))))</f>
        <v/>
      </c>
      <c r="CM33" s="215" t="str" cm="1">
        <f t="array" aca="1" ref="CM33" ca="1">IF($B33="","",IF(ISBLANK(INDIRECT("R11.Software!D"&amp;SUM(18,38*5,14))),"",INDIRECT("R11.Software!D"&amp;SUM(18,38*5,14))))</f>
        <v/>
      </c>
      <c r="CN33" s="215" t="str" cm="1">
        <f t="array" aca="1" ref="CN33" ca="1">IF($B33="","",IF(ISBLANK(INDIRECT("R12.ServiciosApoyo!D"&amp;SUM(18,38*0,14))),"",INDIRECT("R12.ServiciosApoyo!D"&amp;SUM(18,38*0,14))))</f>
        <v/>
      </c>
      <c r="CO33" s="215" t="str" cm="1">
        <f t="array" aca="1" ref="CO33" ca="1">IF($B33="","",IF(ISBLANK(INDIRECT("R12.ServiciosApoyo!D"&amp;SUM(18,38*1,14))),"",INDIRECT("R12.ServiciosApoyo!D"&amp;SUM(18,38*1,14))))</f>
        <v/>
      </c>
      <c r="CP33" s="215" t="str" cm="1">
        <f t="array" aca="1" ref="CP33" ca="1">IF($B33="","",IF(ISBLANK(INDIRECT("R12.ServiciosApoyo!D"&amp;SUM(18,38*2,14))),"",INDIRECT("R12.ServiciosApoyo!D"&amp;SUM(18,38*2,14))))</f>
        <v/>
      </c>
      <c r="CQ33" s="215" t="str" cm="1">
        <f t="array" aca="1" ref="CQ33" ca="1">IF($B33="","",IF(ISBLANK(INDIRECT("R12.ServiciosApoyo!D"&amp;SUM(18,38*3,14))),"",INDIRECT("R12.ServiciosApoyo!D"&amp;SUM(18,38*3,14))))</f>
        <v/>
      </c>
      <c r="CR33" s="215" t="str" cm="1">
        <f t="array" aca="1" ref="CR33" ca="1">IF($B33="","",IF(ISBLANK(INDIRECT("R12.ServiciosApoyo!D"&amp;SUM(18,38*4,14))),"",INDIRECT("R12.ServiciosApoyo!D"&amp;SUM(18,38*4,14))))</f>
        <v/>
      </c>
      <c r="CU33" s="100"/>
      <c r="CV33" s="29"/>
      <c r="CW33" s="29"/>
      <c r="CX33" s="29"/>
    </row>
    <row r="34" spans="2:102" ht="20.5">
      <c r="B34" s="181" t="str" cm="1">
        <f t="array" ref="B34">IFERROR(INDEX('03.Muestra'!$B$8:$B$42,SMALL(IF("Página Web"='03.Muestra'!$D$8:$D$42,ROW('03.Muestra'!$B$8:$B$42)-MIN(ROW('03.Muestra'!$D$8:$D$42))+1,""),ROW()-19)),"")</f>
        <v/>
      </c>
      <c r="C34" s="97" t="str" cm="1">
        <f t="array" ref="C34">IFERROR(INDEX('03.Muestra'!$C$8:$C$42,SMALL(IF("Página Web"='03.Muestra'!$D$8:$D$42,ROW('03.Muestra'!$C$8:$C$42)-MIN(ROW('03.Muestra'!$D$8:$D$42))+1,""),ROW()-19)),"")</f>
        <v/>
      </c>
      <c r="D34" s="98" t="str" cm="1">
        <f t="array" ref="D34">IFERROR(INDEX('03.Muestra'!$F$8:$F$42,SMALL(IF("Página Web"='03.Muestra'!$D$8:$D$42,ROW('03.Muestra'!$F$8:$F$42)-MIN(ROW('03.Muestra'!$D$8:$D$42))+1,""),ROW()-19)),"")</f>
        <v/>
      </c>
      <c r="E34" s="215" t="str" cm="1">
        <f t="array" aca="1" ref="E34" ca="1">IF($B34="","",IF(ISBLANK(INDIRECT("R5.Genéricos!D"&amp;SUM(18,38*0,15))),"",INDIRECT("R5.Genéricos!D"&amp;SUM(18,38*0,15))))</f>
        <v/>
      </c>
      <c r="F34" s="215" t="str" cm="1">
        <f t="array" aca="1" ref="F34" ca="1">IF($B34="","",IF(ISBLANK(INDIRECT("R5.Genéricos!D"&amp;SUM(18,38*1,15))),"",INDIRECT("R5.Genéricos!D"&amp;SUM(18,38*1,15))))</f>
        <v/>
      </c>
      <c r="G34" s="215" t="str" cm="1">
        <f t="array" aca="1" ref="G34" ca="1">IF($B34="","",IF(ISBLANK(INDIRECT("R5.Genéricos!D"&amp;SUM(18,38*2,15))),"",INDIRECT("R5.Genéricos!D"&amp;SUM(18,38*2,15))))</f>
        <v/>
      </c>
      <c r="H34" s="215" t="str" cm="1">
        <f t="array" aca="1" ref="H34" ca="1">IF($B34="","",IF(ISBLANK(INDIRECT("R6.Voz!D"&amp;SUM(18,38*0,15))),"",INDIRECT("R6.Voz!D"&amp;SUM(18,38*0,15))))</f>
        <v/>
      </c>
      <c r="I34" s="215" t="str" cm="1">
        <f t="array" aca="1" ref="I34" ca="1">IF($B34="","",IF(ISBLANK(INDIRECT("R6.Voz!D"&amp;SUM(18,38*1,15))),"",INDIRECT("R6.Voz!D"&amp;SUM(18,38*1,15))))</f>
        <v/>
      </c>
      <c r="J34" s="215" t="str" cm="1">
        <f t="array" aca="1" ref="J34" ca="1">IF($B34="","",IF(ISBLANK(INDIRECT("R6.Voz!D"&amp;SUM(18,38*2,15))),"",INDIRECT("R6.Voz!D"&amp;SUM(18,38*2,15))))</f>
        <v/>
      </c>
      <c r="K34" s="215" t="str" cm="1">
        <f t="array" aca="1" ref="K34" ca="1">IF($B34="","",IF(ISBLANK(INDIRECT("R6.Voz!D"&amp;SUM(18,38*3,15))),"",INDIRECT("R6.Voz!D"&amp;SUM(18,38*3,15))))</f>
        <v/>
      </c>
      <c r="L34" s="215" t="str" cm="1">
        <f t="array" aca="1" ref="L34" ca="1">IF($B34="","",IF(ISBLANK(INDIRECT("R6.Voz!D"&amp;SUM(18,38*4,15))),"",INDIRECT("R6.Voz!D"&amp;SUM(18,38*4,15))))</f>
        <v/>
      </c>
      <c r="M34" s="215" t="str" cm="1">
        <f t="array" aca="1" ref="M34" ca="1">IF($B34="","",IF(ISBLANK(INDIRECT("R6.Voz!D"&amp;SUM(18,38*5,15))),"",INDIRECT("R6.Voz!D"&amp;SUM(18,38*5,15))))</f>
        <v/>
      </c>
      <c r="N34" s="215" t="str" cm="1">
        <f t="array" aca="1" ref="N34" ca="1">IF($B34="","",IF(ISBLANK(INDIRECT("R6.Voz!D"&amp;SUM(18,38*6,15))),"",INDIRECT("R6.Voz!D"&amp;SUM(18,38*6,15))))</f>
        <v/>
      </c>
      <c r="O34" s="215" t="str" cm="1">
        <f t="array" aca="1" ref="O34" ca="1">IF($B34="","",IF(ISBLANK(INDIRECT("R6.Voz!D"&amp;SUM(18,38*7,15))),"",INDIRECT("R6.Voz!D"&amp;SUM(18,38*7,15))))</f>
        <v/>
      </c>
      <c r="P34" s="215" t="str" cm="1">
        <f t="array" aca="1" ref="P34" ca="1">IF($B34="","",IF(ISBLANK(INDIRECT("R6.Voz!D"&amp;SUM(18,38*8,15))),"",INDIRECT("R6.Voz!D"&amp;SUM(18,38*8,15))))</f>
        <v/>
      </c>
      <c r="Q34" s="215" t="str" cm="1">
        <f t="array" aca="1" ref="Q34" ca="1">IF($B34="","",IF(ISBLANK(INDIRECT("R6.Voz!D"&amp;SUM(18,38*9,15))),"",INDIRECT("R6.Voz!D"&amp;SUM(18,38*9,15))))</f>
        <v/>
      </c>
      <c r="R34" s="215" t="str" cm="1">
        <f t="array" aca="1" ref="R34" ca="1">IF($B34="","",IF(ISBLANK(INDIRECT("R6.Voz!D"&amp;SUM(18,38*10,15))),"",INDIRECT("R6.Voz!D"&amp;SUM(18,38*10,15))))</f>
        <v/>
      </c>
      <c r="S34" s="215" t="str" cm="1">
        <f t="array" aca="1" ref="S34" ca="1">IF($B34="","",IF(ISBLANK(INDIRECT("R6.Voz!D"&amp;SUM(18,38*11,15))),"",INDIRECT("R6.Voz!D"&amp;SUM(18,38*11,15))))</f>
        <v/>
      </c>
      <c r="T34" s="215" t="str" cm="1">
        <f t="array" aca="1" ref="T34" ca="1">IF($B34="","",IF(ISBLANK(INDIRECT("R6.Voz!D"&amp;SUM(18,38*12,15))),"",INDIRECT("R6.Voz!D"&amp;SUM(18,38*12,15))))</f>
        <v/>
      </c>
      <c r="U34" s="215" t="str" cm="1">
        <f t="array" aca="1" ref="U34" ca="1">IF($B34="","",IF(ISBLANK(INDIRECT("R6.Voz!D"&amp;SUM(18,38*13,15))),"",INDIRECT("R6.Voz!D"&amp;SUM(18,38*13,15))))</f>
        <v/>
      </c>
      <c r="V34" s="215" t="str" cm="1">
        <f t="array" aca="1" ref="V34" ca="1">IF($B34="","",IF(ISBLANK(INDIRECT("R6.Voz!D"&amp;SUM(18,38*14,15))),"",INDIRECT("R6.Voz!D"&amp;SUM(18,38*14,15))))</f>
        <v/>
      </c>
      <c r="W34" s="215" t="str" cm="1">
        <f t="array" aca="1" ref="W34" ca="1">IF($B34="","",IF(ISBLANK(INDIRECT("R6.Voz!D"&amp;SUM(18,38*15,15))),"",INDIRECT("R6.Voz!D"&amp;SUM(18,38*15,15))))</f>
        <v/>
      </c>
      <c r="X34" s="215" t="str" cm="1">
        <f t="array" aca="1" ref="X34" ca="1">IF($B34="","",IF(ISBLANK(INDIRECT("R6.Voz!D"&amp;SUM(18,38*16,15))),"",INDIRECT("R6.Voz!D"&amp;SUM(18,38*16,15))))</f>
        <v/>
      </c>
      <c r="Y34" s="215" t="str" cm="1">
        <f t="array" aca="1" ref="Y34" ca="1">IF($B34="","",IF(ISBLANK(INDIRECT("R6.Voz!D"&amp;SUM(18,38*17,15))),"",INDIRECT("R6.Voz!D"&amp;SUM(18,38*17,15))))</f>
        <v/>
      </c>
      <c r="Z34" s="215" t="str" cm="1">
        <f t="array" aca="1" ref="Z34" ca="1">IF($B34="","",IF(ISBLANK(INDIRECT("R6.Voz!D"&amp;SUM(18,38*18,15))),"",INDIRECT("R6.Voz!D"&amp;SUM(18,38*18,15))))</f>
        <v/>
      </c>
      <c r="AA34" s="215" t="str" cm="1">
        <f t="array" aca="1" ref="AA34" ca="1">IF($B34="","",IF(ISBLANK(INDIRECT("R7.Video!D"&amp;SUM(18,38*0,15))),"",INDIRECT("R7.Video!D"&amp;SUM(18,38*0,15))))</f>
        <v/>
      </c>
      <c r="AB34" s="215" t="str" cm="1">
        <f t="array" aca="1" ref="AB34" ca="1">IF($B34="","",IF(ISBLANK(INDIRECT("R7.Video!D"&amp;SUM(18,38*1,15))),"",INDIRECT("R7.Video!D"&amp;SUM(18,38*1,15))))</f>
        <v/>
      </c>
      <c r="AC34" s="215" t="str" cm="1">
        <f t="array" aca="1" ref="AC34" ca="1">IF($B34="","",IF(ISBLANK(INDIRECT("R7.Video!D"&amp;SUM(18,38*2,15))),"",INDIRECT("R7.Video!D"&amp;SUM(18,38*2,15))))</f>
        <v/>
      </c>
      <c r="AD34" s="215" t="str" cm="1">
        <f t="array" aca="1" ref="AD34" ca="1">IF($B34="","",IF(ISBLANK(INDIRECT("R7.Video!D"&amp;SUM(18,38*3,15))),"",INDIRECT("R7.Video!D"&amp;SUM(18,38*3,15))))</f>
        <v/>
      </c>
      <c r="AE34" s="215" t="str" cm="1">
        <f t="array" aca="1" ref="AE34" ca="1">IF($B34="","",IF(ISBLANK(INDIRECT("R7.Video!D"&amp;SUM(18,38*4,15))),"",INDIRECT("R7.Video!D"&amp;SUM(18,38*4,15))))</f>
        <v/>
      </c>
      <c r="AF34" s="215" t="str" cm="1">
        <f t="array" aca="1" ref="AF34" ca="1">IF($B34="","",IF(ISBLANK(INDIRECT("R7.Video!D"&amp;SUM(18,38*5,15))),"",INDIRECT("R7.Video!D"&amp;SUM(18,38*5,15))))</f>
        <v/>
      </c>
      <c r="AG34" s="215" t="str" cm="1">
        <f t="array" aca="1" ref="AG34" ca="1">IF($B34="","",IF(ISBLANK(INDIRECT("R7.Video!D"&amp;SUM(18,38*6,15))),"",INDIRECT("R7.Video!D"&amp;SUM(18,38*6,15))))</f>
        <v/>
      </c>
      <c r="AH34" s="215" t="str" cm="1">
        <f t="array" aca="1" ref="AH34" ca="1">IF($B34="","",IF(ISBLANK(INDIRECT("R7.Video!D"&amp;SUM(18,38*7,15))),"",INDIRECT("R7.Video!D"&amp;SUM(18,38*7,15))))</f>
        <v/>
      </c>
      <c r="AI34" s="215" t="str" cm="1">
        <f t="array" aca="1" ref="AI34" ca="1">IF($B34="","",IF(ISBLANK(INDIRECT("R7.Video!D"&amp;SUM(18,38*8,15))),"",INDIRECT("R7.Video!D"&amp;SUM(18,38*8,15))))</f>
        <v/>
      </c>
      <c r="AJ34" s="215" t="str" cm="1">
        <f t="array" aca="1" ref="AJ34" ca="1">IF($B34="","",IF(ISBLANK(INDIRECT("R9.Web!D"&amp;SUM(18,38*0,15))),"",INDIRECT("R9.Web!D"&amp;SUM(18,38*0,15))))</f>
        <v/>
      </c>
      <c r="AK34" s="215" t="str" cm="1">
        <f t="array" aca="1" ref="AK34" ca="1">IF($B34="","",IF(ISBLANK(INDIRECT("R9.Web!D"&amp;SUM(18,38*1,15))),"",INDIRECT("R9.Web!D"&amp;SUM(18,38*1,15))))</f>
        <v/>
      </c>
      <c r="AL34" s="215" t="str" cm="1">
        <f t="array" aca="1" ref="AL34" ca="1">IF($B34="","",IF(ISBLANK(INDIRECT("R9.Web!D"&amp;SUM(18,38*2,15))),"",INDIRECT("R9.Web!D"&amp;SUM(18,38*2,15))))</f>
        <v/>
      </c>
      <c r="AM34" s="215" t="str" cm="1">
        <f t="array" aca="1" ref="AM34" ca="1">IF($B34="","",IF(ISBLANK(INDIRECT("R9.Web!D"&amp;SUM(18,38*3,15))),"",INDIRECT("R9.Web!D"&amp;SUM(18,38*3,15))))</f>
        <v/>
      </c>
      <c r="AN34" s="215" t="str" cm="1">
        <f t="array" aca="1" ref="AN34" ca="1">IF($B34="","",IF(ISBLANK(INDIRECT("R9.Web!D"&amp;SUM(18,38*4,15))),"",INDIRECT("R9.Web!D"&amp;SUM(18,38*4,15))))</f>
        <v/>
      </c>
      <c r="AO34" s="215" t="str" cm="1">
        <f t="array" aca="1" ref="AO34" ca="1">IF($B34="","",IF(ISBLANK(INDIRECT("R9.Web!D"&amp;SUM(18,38*5,15))),"",INDIRECT("R9.Web!D"&amp;SUM(18,38*5,15))))</f>
        <v/>
      </c>
      <c r="AP34" s="215" t="str" cm="1">
        <f t="array" aca="1" ref="AP34" ca="1">IF($B34="","",IF(ISBLANK(INDIRECT("R9.Web!D"&amp;SUM(18,38*6,15))),"",INDIRECT("R9.Web!D"&amp;SUM(18,38*6,15))))</f>
        <v/>
      </c>
      <c r="AQ34" s="215" t="str" cm="1">
        <f t="array" aca="1" ref="AQ34" ca="1">IF($B34="","",IF(ISBLANK(INDIRECT("R9.Web!D"&amp;SUM(18,38*7,15))),"",INDIRECT("R9.Web!D"&amp;SUM(18,38*7,15))))</f>
        <v/>
      </c>
      <c r="AR34" s="215" t="str" cm="1">
        <f t="array" aca="1" ref="AR34" ca="1">IF($B34="","",IF(ISBLANK(INDIRECT("R9.Web!D"&amp;SUM(18,38*8,15))),"",INDIRECT("R9.Web!D"&amp;SUM(18,38*8,15))))</f>
        <v/>
      </c>
      <c r="AS34" s="215" t="str" cm="1">
        <f t="array" aca="1" ref="AS34" ca="1">IF($B34="","",IF(ISBLANK(INDIRECT("R9.Web!D"&amp;SUM(18,38*9,15))),"",INDIRECT("R9.Web!D"&amp;SUM(18,38*9,15))))</f>
        <v/>
      </c>
      <c r="AT34" s="215" t="str" cm="1">
        <f t="array" aca="1" ref="AT34" ca="1">IF($B34="","",IF(ISBLANK(INDIRECT("R9.Web!D"&amp;SUM(18,38*10,15))),"",INDIRECT("R9.Web!D"&amp;SUM(18,38*10,15))))</f>
        <v/>
      </c>
      <c r="AU34" s="215" t="str" cm="1">
        <f t="array" aca="1" ref="AU34" ca="1">IF($B34="","",IF(ISBLANK(INDIRECT("R9.Web!D"&amp;SUM(18,38*11,15))),"",INDIRECT("R9.Web!D"&amp;SUM(18,38*11,15))))</f>
        <v/>
      </c>
      <c r="AV34" s="215" t="str" cm="1">
        <f t="array" aca="1" ref="AV34" ca="1">IF($B34="","",IF(ISBLANK(INDIRECT("R9.Web!D"&amp;SUM(18,38*12,15))),"",INDIRECT("R9.Web!D"&amp;SUM(18,38*12,15))))</f>
        <v/>
      </c>
      <c r="AW34" s="215" t="str" cm="1">
        <f t="array" aca="1" ref="AW34" ca="1">IF($B34="","",IF(ISBLANK(INDIRECT("R9.Web!D"&amp;SUM(18,38*13,15))),"",INDIRECT("R9.Web!D"&amp;SUM(18,38*13,15))))</f>
        <v/>
      </c>
      <c r="AX34" s="215" t="str" cm="1">
        <f t="array" aca="1" ref="AX34" ca="1">IF($B34="","",IF(ISBLANK(INDIRECT("R9.Web!D"&amp;SUM(18,38*14,15))),"",INDIRECT("R9.Web!D"&amp;SUM(18,38*14,15))))</f>
        <v/>
      </c>
      <c r="AY34" s="215" t="str" cm="1">
        <f t="array" aca="1" ref="AY34" ca="1">IF($B34="","",IF(ISBLANK(INDIRECT("R9.Web!D"&amp;SUM(18,38*15,15))),"",INDIRECT("R9.Web!D"&amp;SUM(18,38*15,15))))</f>
        <v/>
      </c>
      <c r="AZ34" s="215" t="str" cm="1">
        <f t="array" aca="1" ref="AZ34" ca="1">IF($B34="","",IF(ISBLANK(INDIRECT("R9.Web!D"&amp;SUM(18,38*16,15))),"",INDIRECT("R9.Web!D"&amp;SUM(18,38*16,15))))</f>
        <v/>
      </c>
      <c r="BA34" s="215" t="str" cm="1">
        <f t="array" aca="1" ref="BA34" ca="1">IF($B34="","",IF(ISBLANK(INDIRECT("R9.Web!D"&amp;SUM(18,38*17,15))),"",INDIRECT("R9.Web!D"&amp;SUM(18,38*17,15))))</f>
        <v/>
      </c>
      <c r="BB34" s="215" t="str" cm="1">
        <f t="array" aca="1" ref="BB34" ca="1">IF($B34="","",IF(ISBLANK(INDIRECT("R9.Web!D"&amp;SUM(18,38*18,15))),"",INDIRECT("R9.Web!D"&amp;SUM(18,38*18,15))))</f>
        <v/>
      </c>
      <c r="BC34" s="215" t="str" cm="1">
        <f t="array" aca="1" ref="BC34" ca="1">IF($B34="","",IF(ISBLANK(INDIRECT("R9.Web!D"&amp;SUM(18,38*19,15))),"",INDIRECT("R9.Web!D"&amp;SUM(18,38*19,15))))</f>
        <v/>
      </c>
      <c r="BD34" s="215" t="str" cm="1">
        <f t="array" aca="1" ref="BD34" ca="1">IF($B34="","",IF(ISBLANK(INDIRECT("R9.Web!D"&amp;SUM(18,38*20,15))),"",INDIRECT("R9.Web!D"&amp;SUM(18,38*20,15))))</f>
        <v/>
      </c>
      <c r="BE34" s="215" t="str" cm="1">
        <f t="array" aca="1" ref="BE34" ca="1">IF($B34="","",IF(ISBLANK(INDIRECT("R9.Web!D"&amp;SUM(18,38*21,15))),"",INDIRECT("R9.Web!D"&amp;SUM(18,38*21,15))))</f>
        <v/>
      </c>
      <c r="BF34" s="215" t="str" cm="1">
        <f t="array" aca="1" ref="BF34" ca="1">IF($B34="","",IF(ISBLANK(INDIRECT("R9.Web!D"&amp;SUM(18,38*22,15))),"",INDIRECT("R9.Web!D"&amp;SUM(18,38*22,15))))</f>
        <v/>
      </c>
      <c r="BG34" s="215" t="str" cm="1">
        <f t="array" aca="1" ref="BG34" ca="1">IF($B34="","",IF(ISBLANK(INDIRECT("R9.Web!D"&amp;SUM(18,38*23,15))),"",INDIRECT("R9.Web!D"&amp;SUM(18,38*23,15))))</f>
        <v/>
      </c>
      <c r="BH34" s="215" t="str" cm="1">
        <f t="array" aca="1" ref="BH34" ca="1">IF($B34="","",IF(ISBLANK(INDIRECT("R9.Web!D"&amp;SUM(18,38*24,15))),"",INDIRECT("R9.Web!D"&amp;SUM(18,38*24,15))))</f>
        <v/>
      </c>
      <c r="BI34" s="215" t="str" cm="1">
        <f t="array" aca="1" ref="BI34" ca="1">IF($B34="","",IF(ISBLANK(INDIRECT("R9.Web!D"&amp;SUM(18,38*25,15))),"",INDIRECT("R9.Web!D"&amp;SUM(18,38*25,15))))</f>
        <v/>
      </c>
      <c r="BJ34" s="215" t="str" cm="1">
        <f t="array" aca="1" ref="BJ34" ca="1">IF($B34="","",IF(ISBLANK(INDIRECT("R9.Web!D"&amp;SUM(18,38*26,15))),"",INDIRECT("R9.Web!D"&amp;SUM(18,38*26,15))))</f>
        <v/>
      </c>
      <c r="BK34" s="215" t="str" cm="1">
        <f t="array" aca="1" ref="BK34" ca="1">IF($B34="","",IF(ISBLANK(INDIRECT("R9.Web!D"&amp;SUM(18,38*27,15))),"",INDIRECT("R9.Web!D"&amp;SUM(18,38*27,15))))</f>
        <v/>
      </c>
      <c r="BL34" s="215" t="str" cm="1">
        <f t="array" aca="1" ref="BL34" ca="1">IF($B34="","",IF(ISBLANK(INDIRECT("R9.Web!D"&amp;SUM(18,38*28,15))),"",INDIRECT("R9.Web!D"&amp;SUM(18,38*28,15))))</f>
        <v/>
      </c>
      <c r="BM34" s="215" t="str" cm="1">
        <f t="array" aca="1" ref="BM34" ca="1">IF($B34="","",IF(ISBLANK(INDIRECT("R9.Web!D"&amp;SUM(18,38*29,15))),"",INDIRECT("R9.Web!D"&amp;SUM(18,38*29,15))))</f>
        <v/>
      </c>
      <c r="BN34" s="215" t="str" cm="1">
        <f t="array" aca="1" ref="BN34" ca="1">IF($B34="","",IF(ISBLANK(INDIRECT("R9.Web!D"&amp;SUM(18,38*30,15))),"",INDIRECT("R9.Web!D"&amp;SUM(18,38*30,15))))</f>
        <v/>
      </c>
      <c r="BO34" s="215" t="str" cm="1">
        <f t="array" aca="1" ref="BO34" ca="1">IF($B34="","",IF(ISBLANK(INDIRECT("R9.Web!D"&amp;SUM(18,38*31,15))),"",INDIRECT("R9.Web!D"&amp;SUM(18,38*31,15))))</f>
        <v/>
      </c>
      <c r="BP34" s="215" t="str" cm="1">
        <f t="array" aca="1" ref="BP34" ca="1">IF($B34="","",IF(ISBLANK(INDIRECT("R9.Web!D"&amp;SUM(18,38*32,15))),"",INDIRECT("R9.Web!D"&amp;SUM(18,38*32,15))))</f>
        <v/>
      </c>
      <c r="BQ34" s="215" t="str" cm="1">
        <f t="array" aca="1" ref="BQ34" ca="1">IF($B34="","",IF(ISBLANK(INDIRECT("R9.Web!D"&amp;SUM(18,38*33,15))),"",INDIRECT("R9.Web!D"&amp;SUM(18,38*33,15))))</f>
        <v/>
      </c>
      <c r="BR34" s="215" t="str" cm="1">
        <f t="array" aca="1" ref="BR34" ca="1">IF($B34="","",IF(ISBLANK(INDIRECT("R9.Web!D"&amp;SUM(18,38*34,15))),"",INDIRECT("R9.Web!D"&amp;SUM(18,38*34,15))))</f>
        <v/>
      </c>
      <c r="BS34" s="215" t="str" cm="1">
        <f t="array" aca="1" ref="BS34" ca="1">IF($B34="","",IF(ISBLANK(INDIRECT("R9.Web!D"&amp;SUM(18,38*35,15))),"",INDIRECT("R9.Web!D"&amp;SUM(18,38*35,15))))</f>
        <v/>
      </c>
      <c r="BT34" s="215" t="str" cm="1">
        <f t="array" aca="1" ref="BT34" ca="1">IF($B34="","",IF(ISBLANK(INDIRECT("R9.Web!D"&amp;SUM(18,38*36,15))),"",INDIRECT("R9.Web!D"&amp;SUM(18,38*36,15))))</f>
        <v/>
      </c>
      <c r="BU34" s="215" t="str" cm="1">
        <f t="array" aca="1" ref="BU34" ca="1">IF($B34="","",IF(ISBLANK(INDIRECT("R9.Web!D"&amp;SUM(18,38*37,15))),"",INDIRECT("R9.Web!D"&amp;SUM(18,38*37,15))))</f>
        <v/>
      </c>
      <c r="BV34" s="215" t="str" cm="1">
        <f t="array" aca="1" ref="BV34" ca="1">IF($B34="","",IF(ISBLANK(INDIRECT("R9.Web!D"&amp;SUM(18,38*38,15))),"",INDIRECT("R9.Web!D"&amp;SUM(18,38*38,15))))</f>
        <v/>
      </c>
      <c r="BW34" s="215" t="str" cm="1">
        <f t="array" aca="1" ref="BW34" ca="1">IF($B34="","",IF(ISBLANK(INDIRECT("R9.Web!D"&amp;SUM(18,38*39,15))),"",INDIRECT("R9.Web!D"&amp;SUM(18,38*39,15))))</f>
        <v/>
      </c>
      <c r="BX34" s="215" t="str" cm="1">
        <f t="array" aca="1" ref="BX34" ca="1">IF($B34="","",IF(ISBLANK(INDIRECT("R9.Web!D"&amp;SUM(18,38*40,15))),"",INDIRECT("R9.Web!D"&amp;SUM(18,38*40,15))))</f>
        <v/>
      </c>
      <c r="BY34" s="215" t="str" cm="1">
        <f t="array" aca="1" ref="BY34" ca="1">IF($B34="","",IF(ISBLANK(INDIRECT("R9.Web!D"&amp;SUM(18,38*41,15))),"",INDIRECT("R9.Web!D"&amp;SUM(18,38*41,15))))</f>
        <v/>
      </c>
      <c r="BZ34" s="215" t="str" cm="1">
        <f t="array" aca="1" ref="BZ34" ca="1">IF($B34="","",IF(ISBLANK(INDIRECT("R9.Web!D"&amp;SUM(18,38*42,15))),"",INDIRECT("R9.Web!D"&amp;SUM(18,38*42,15))))</f>
        <v/>
      </c>
      <c r="CA34" s="215" t="str" cm="1">
        <f t="array" aca="1" ref="CA34" ca="1">IF($B34="","",IF(ISBLANK(INDIRECT("R9.Web!D"&amp;SUM(18,38*43,15))),"",INDIRECT("R9.Web!D"&amp;SUM(18,38*43,15))))</f>
        <v/>
      </c>
      <c r="CB34" s="215" t="str" cm="1">
        <f t="array" aca="1" ref="CB34" ca="1">IF($B34="","",IF(ISBLANK(INDIRECT("R9.Web!D"&amp;SUM(18,38*44,15))),"",INDIRECT("R9.Web!D"&amp;SUM(18,38*44,15))))</f>
        <v/>
      </c>
      <c r="CC34" s="215" t="str" cm="1">
        <f t="array" aca="1" ref="CC34" ca="1">IF($B34="","",IF(ISBLANK(INDIRECT("R9.Web!D"&amp;SUM(18,38*45,15))),"",INDIRECT("R9.Web!D"&amp;SUM(18,38*45,15))))</f>
        <v/>
      </c>
      <c r="CD34" s="215" t="str" cm="1">
        <f t="array" aca="1" ref="CD34" ca="1">IF($B34="","",IF(ISBLANK(INDIRECT("R9.Web!D"&amp;SUM(18,38*46,15))),"",INDIRECT("R9.Web!D"&amp;SUM(18,38*46,15))))</f>
        <v/>
      </c>
      <c r="CE34" s="215" t="str" cm="1">
        <f t="array" aca="1" ref="CE34" ca="1">IF($B34="","",IF(ISBLANK(INDIRECT("R9.Web!D"&amp;SUM(18,38*47,15))),"",INDIRECT("R9.Web!D"&amp;SUM(18,38*47,15))))</f>
        <v/>
      </c>
      <c r="CF34" s="215" t="str" cm="1">
        <f t="array" aca="1" ref="CF34" ca="1">IF($B34="","",IF(ISBLANK(INDIRECT("R9.Web!D"&amp;SUM(18,38*48,15))),"",INDIRECT("R9.Web!D"&amp;SUM(18,38*48,15))))</f>
        <v/>
      </c>
      <c r="CG34" s="215" t="str" cm="1">
        <f t="array" aca="1" ref="CG34" ca="1">IF($B34="","",IF(ISBLANK(INDIRECT("R9.Web!D"&amp;SUM(18,38*49,15))),"",INDIRECT("R9.Web!D"&amp;SUM(18,38*49,15))))</f>
        <v/>
      </c>
      <c r="CH34" s="215" t="str" cm="1">
        <f t="array" aca="1" ref="CH34" ca="1">IF($B34="","",IF(ISBLANK(INDIRECT("R11.Software!D"&amp;SUM(18,38*0,15))),"",INDIRECT("R11.Software!D"&amp;SUM(18,38*0,15))))</f>
        <v/>
      </c>
      <c r="CI34" s="215" t="str" cm="1">
        <f t="array" aca="1" ref="CI34" ca="1">IF($B34="","",IF(ISBLANK(INDIRECT("R11.Software!D"&amp;SUM(18,38*1,15))),"",INDIRECT("R11.Software!D"&amp;SUM(18,38*1,15))))</f>
        <v/>
      </c>
      <c r="CJ34" s="215" t="str" cm="1">
        <f t="array" aca="1" ref="CJ34" ca="1">IF($B34="","",IF(ISBLANK(INDIRECT("R11.Software!D"&amp;SUM(18,38*2,15))),"",INDIRECT("R11.Software!D"&amp;SUM(18,38*2,15))))</f>
        <v/>
      </c>
      <c r="CK34" s="215" t="str" cm="1">
        <f t="array" aca="1" ref="CK34" ca="1">IF($B34="","",IF(ISBLANK(INDIRECT("R11.Software!D"&amp;SUM(18,38*3,15))),"",INDIRECT("R11.Software!D"&amp;SUM(18,38*3,15))))</f>
        <v/>
      </c>
      <c r="CL34" s="215" t="str" cm="1">
        <f t="array" aca="1" ref="CL34" ca="1">IF($B34="","",IF(ISBLANK(INDIRECT("R11.Software!D"&amp;SUM(18,38*4,15))),"",INDIRECT("R11.Software!D"&amp;SUM(18,38*4,15))))</f>
        <v/>
      </c>
      <c r="CM34" s="215" t="str" cm="1">
        <f t="array" aca="1" ref="CM34" ca="1">IF($B34="","",IF(ISBLANK(INDIRECT("R11.Software!D"&amp;SUM(18,38*5,15))),"",INDIRECT("R11.Software!D"&amp;SUM(18,38*5,15))))</f>
        <v/>
      </c>
      <c r="CN34" s="215" t="str" cm="1">
        <f t="array" aca="1" ref="CN34" ca="1">IF($B34="","",IF(ISBLANK(INDIRECT("R12.ServiciosApoyo!D"&amp;SUM(18,38*0,15))),"",INDIRECT("R12.ServiciosApoyo!D"&amp;SUM(18,38*0,15))))</f>
        <v/>
      </c>
      <c r="CO34" s="215" t="str" cm="1">
        <f t="array" aca="1" ref="CO34" ca="1">IF($B34="","",IF(ISBLANK(INDIRECT("R12.ServiciosApoyo!D"&amp;SUM(18,38*1,15))),"",INDIRECT("R12.ServiciosApoyo!D"&amp;SUM(18,38*1,15))))</f>
        <v/>
      </c>
      <c r="CP34" s="215" t="str" cm="1">
        <f t="array" aca="1" ref="CP34" ca="1">IF($B34="","",IF(ISBLANK(INDIRECT("R12.ServiciosApoyo!D"&amp;SUM(18,38*2,15))),"",INDIRECT("R12.ServiciosApoyo!D"&amp;SUM(18,38*2,15))))</f>
        <v/>
      </c>
      <c r="CQ34" s="215" t="str" cm="1">
        <f t="array" aca="1" ref="CQ34" ca="1">IF($B34="","",IF(ISBLANK(INDIRECT("R12.ServiciosApoyo!D"&amp;SUM(18,38*3,15))),"",INDIRECT("R12.ServiciosApoyo!D"&amp;SUM(18,38*3,15))))</f>
        <v/>
      </c>
      <c r="CR34" s="215" t="str" cm="1">
        <f t="array" aca="1" ref="CR34" ca="1">IF($B34="","",IF(ISBLANK(INDIRECT("R12.ServiciosApoyo!D"&amp;SUM(18,38*4,15))),"",INDIRECT("R12.ServiciosApoyo!D"&amp;SUM(18,38*4,15))))</f>
        <v/>
      </c>
      <c r="CU34" s="100"/>
      <c r="CV34" s="29"/>
      <c r="CW34" s="29"/>
      <c r="CX34" s="29"/>
    </row>
    <row r="35" spans="2:102" ht="20.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CONFORME</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CONFORME</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CONFORME</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CONFORME</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CONFORME</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NO CONFORME</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CONFORME</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NO 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5" t="s">
        <v>154</v>
      </c>
      <c r="C58" s="275"/>
      <c r="D58" s="275"/>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9" t="s">
        <v>50</v>
      </c>
      <c r="C59" s="270"/>
      <c r="D59" s="271"/>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5"/>
  <cols>
    <col min="13" max="13" width="12.36328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7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7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4" t="s">
        <v>89</v>
      </c>
      <c r="C4" s="294"/>
      <c r="D4" s="294"/>
      <c r="E4" s="294"/>
      <c r="F4" s="294"/>
      <c r="G4" s="294"/>
      <c r="H4" s="294"/>
      <c r="I4" s="294"/>
      <c r="J4" s="294"/>
      <c r="K4" s="294"/>
      <c r="L4" s="294"/>
      <c r="M4" s="294"/>
      <c r="N4" s="294"/>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2" t="s">
        <v>479</v>
      </c>
      <c r="C6" s="292"/>
      <c r="D6" s="292"/>
      <c r="E6" s="292"/>
      <c r="F6" s="292"/>
      <c r="G6" s="292"/>
      <c r="H6" s="292"/>
      <c r="I6" s="292"/>
      <c r="J6" s="292"/>
      <c r="K6" s="292"/>
      <c r="L6" s="292"/>
      <c r="M6" s="292"/>
      <c r="N6" s="292"/>
    </row>
    <row r="7" spans="1:64" ht="172.5" customHeight="1">
      <c r="A7" s="40"/>
      <c r="B7" s="293"/>
      <c r="C7" s="293"/>
      <c r="D7" s="293"/>
      <c r="E7" s="293"/>
      <c r="F7" s="293"/>
      <c r="G7" s="293"/>
      <c r="H7" s="293"/>
      <c r="I7" s="293"/>
      <c r="J7" s="293"/>
      <c r="K7" s="293"/>
      <c r="L7" s="293"/>
      <c r="M7" s="293"/>
      <c r="N7" s="293"/>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3"/>
      <c r="C8" s="293"/>
      <c r="D8" s="293"/>
      <c r="E8" s="293"/>
      <c r="F8" s="293"/>
      <c r="G8" s="293"/>
      <c r="H8" s="293"/>
      <c r="I8" s="293"/>
      <c r="J8" s="293"/>
      <c r="K8" s="293"/>
      <c r="L8" s="293"/>
      <c r="M8" s="293"/>
      <c r="N8" s="293"/>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90625" customWidth="1"/>
    <col min="2" max="2" width="65.08984375" customWidth="1"/>
    <col min="3" max="3" width="18.90625" customWidth="1"/>
    <col min="4" max="4" width="3.90625" customWidth="1"/>
    <col min="5" max="5" width="28.08984375" customWidth="1"/>
    <col min="6" max="6" width="3.90625" customWidth="1"/>
    <col min="7" max="7" width="33.08984375" customWidth="1"/>
    <col min="8" max="8" width="4" customWidth="1"/>
    <col min="9" max="9" width="17.90625" customWidth="1"/>
    <col min="10" max="10" width="3.90625" customWidth="1"/>
    <col min="11" max="11" width="6.54296875" customWidth="1"/>
    <col min="12" max="12" width="3.90625" customWidth="1"/>
    <col min="13" max="13" width="8.6328125" customWidth="1"/>
    <col min="14" max="14" width="3.90625" customWidth="1"/>
    <col min="15" max="15" width="25.36328125" customWidth="1"/>
    <col min="16" max="16" width="3.90625" customWidth="1"/>
    <col min="18" max="18" width="3.90625" customWidth="1"/>
    <col min="19" max="19" width="22.54296875" customWidth="1"/>
    <col min="20" max="20" width="3.90625" customWidth="1"/>
    <col min="21" max="21" width="11.5429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5">
      <c r="B23" s="33" t="s">
        <v>82</v>
      </c>
    </row>
    <row r="25" spans="2:15" ht="15.5">
      <c r="B25" s="34" t="s">
        <v>83</v>
      </c>
      <c r="C25" s="35">
        <v>0.1</v>
      </c>
    </row>
    <row r="26" spans="2:15" ht="15.5">
      <c r="B26" s="34" t="s">
        <v>84</v>
      </c>
      <c r="C26" s="35">
        <v>0.5</v>
      </c>
    </row>
    <row r="27" spans="2:15" ht="15.5">
      <c r="B27" s="34" t="s">
        <v>85</v>
      </c>
      <c r="C27" s="35">
        <v>1</v>
      </c>
    </row>
    <row r="28" spans="2:15">
      <c r="C28" s="36"/>
      <c r="D28" s="36"/>
    </row>
    <row r="29" spans="2:15">
      <c r="C29" s="36"/>
      <c r="D29" s="36"/>
    </row>
    <row r="30" spans="2:15" ht="14">
      <c r="B30" s="37" t="s">
        <v>86</v>
      </c>
      <c r="C30" s="38"/>
      <c r="D30" s="38"/>
    </row>
    <row r="31" spans="2:15" ht="14">
      <c r="B31" s="39"/>
      <c r="C31" s="38"/>
      <c r="D31" s="38"/>
    </row>
    <row r="32" spans="2:15" ht="14">
      <c r="B32" s="39" t="s">
        <v>87</v>
      </c>
      <c r="C32" s="39">
        <v>28</v>
      </c>
      <c r="D32" s="39"/>
    </row>
    <row r="33" spans="2:4" ht="14">
      <c r="B33" s="39" t="s">
        <v>88</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36328125" style="40" customWidth="1"/>
    <col min="5" max="5" width="14.08984375" style="40" customWidth="1"/>
    <col min="6" max="8" width="11.453125" style="40"/>
    <col min="9" max="9" width="2.453125" style="40" customWidth="1"/>
    <col min="10" max="10" width="2.6328125" style="40" customWidth="1"/>
    <col min="11" max="11" width="27.54296875" style="40" customWidth="1"/>
    <col min="12" max="12" width="11.453125" style="40"/>
    <col min="13" max="13" width="12.36328125" style="40" bestFit="1" customWidth="1"/>
    <col min="14" max="14" width="9.08984375" style="40" bestFit="1" customWidth="1"/>
    <col min="15" max="15" width="5.54296875" style="40" bestFit="1" customWidth="1"/>
    <col min="16" max="16" width="8.90625" style="40" bestFit="1" customWidth="1"/>
    <col min="17" max="19" width="3.54296875" style="40" customWidth="1"/>
    <col min="20" max="20" width="11.453125" style="40"/>
    <col min="21" max="21" width="14.90625" style="40" bestFit="1" customWidth="1"/>
    <col min="22" max="22" width="21.36328125" style="40" bestFit="1" customWidth="1"/>
    <col min="23" max="25" width="11.453125" style="40"/>
    <col min="26" max="26" width="21.36328125" style="40" bestFit="1" customWidth="1"/>
    <col min="27" max="119" width="11.453125" style="40"/>
    <col min="120" max="120" width="14.90625" style="40" bestFit="1" customWidth="1"/>
    <col min="121" max="124" width="11.453125" style="40"/>
    <col min="125" max="125" width="21.36328125" style="40" bestFit="1" customWidth="1"/>
    <col min="126" max="16384" width="11.453125" style="40"/>
  </cols>
  <sheetData>
    <row r="1" spans="1:170" ht="13">
      <c r="A1" s="144" t="s">
        <v>124</v>
      </c>
      <c r="B1" s="144"/>
      <c r="C1" s="144" t="s">
        <v>125</v>
      </c>
      <c r="D1" s="144"/>
      <c r="E1" s="144" t="s">
        <v>342</v>
      </c>
      <c r="F1" s="144"/>
      <c r="G1" s="144"/>
      <c r="H1" s="144"/>
      <c r="I1" s="144"/>
      <c r="J1" s="144"/>
      <c r="K1" s="144" t="s">
        <v>345</v>
      </c>
      <c r="L1" s="144"/>
      <c r="M1" s="144"/>
      <c r="T1" s="296" t="s">
        <v>361</v>
      </c>
      <c r="U1" s="296"/>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c r="AZ1" s="296"/>
      <c r="BA1" s="296"/>
      <c r="BB1" s="296"/>
      <c r="BC1" s="296"/>
      <c r="BD1" s="296"/>
      <c r="BE1" s="296"/>
      <c r="BF1" s="296"/>
      <c r="BG1" s="296"/>
      <c r="BH1" s="296"/>
      <c r="BI1" s="296"/>
      <c r="BJ1" s="296"/>
      <c r="BK1" s="296"/>
      <c r="BL1" s="296"/>
      <c r="BM1" s="296"/>
      <c r="BN1" s="296"/>
      <c r="BO1" s="296"/>
      <c r="BP1" s="296"/>
      <c r="BQ1" s="296"/>
      <c r="BR1" s="296"/>
      <c r="BS1" s="296"/>
      <c r="BT1" s="296"/>
      <c r="BU1" s="296"/>
      <c r="BV1" s="296"/>
      <c r="BW1" s="296"/>
      <c r="BX1" s="296"/>
      <c r="BY1" s="296"/>
      <c r="BZ1" s="296"/>
      <c r="CA1" s="296"/>
      <c r="CB1" s="296"/>
      <c r="CC1" s="296"/>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5" t="s">
        <v>476</v>
      </c>
      <c r="DP1" s="295"/>
      <c r="DQ1" s="295"/>
      <c r="DR1" s="295"/>
      <c r="DS1" s="295"/>
      <c r="DT1" s="295"/>
      <c r="DU1" s="295"/>
      <c r="DV1" s="295"/>
      <c r="DW1" s="295"/>
      <c r="DX1" s="295"/>
      <c r="DY1" s="295"/>
      <c r="DZ1" s="295"/>
      <c r="EA1" s="295"/>
      <c r="EB1" s="295"/>
      <c r="EC1" s="295"/>
      <c r="ED1" s="295"/>
      <c r="EE1" s="295"/>
      <c r="EF1" s="295"/>
      <c r="EG1" s="295"/>
      <c r="EH1" s="295"/>
      <c r="EI1" s="295"/>
      <c r="EJ1" s="295"/>
      <c r="EK1" s="295"/>
      <c r="EL1" s="295"/>
      <c r="EM1" s="295"/>
      <c r="EN1" s="295"/>
      <c r="EO1" s="295"/>
      <c r="EP1" s="295"/>
      <c r="EQ1" s="295"/>
      <c r="ER1" s="295"/>
      <c r="ES1" s="295"/>
      <c r="ET1" s="295"/>
      <c r="EU1" s="295"/>
      <c r="EV1" s="295"/>
      <c r="EW1" s="295"/>
      <c r="EX1" s="295"/>
      <c r="EY1" s="295"/>
      <c r="EZ1" s="295"/>
      <c r="FA1" s="295"/>
      <c r="FB1" s="295"/>
      <c r="FC1" s="295"/>
      <c r="FD1" s="295"/>
      <c r="FE1" s="295"/>
      <c r="FF1" s="295"/>
      <c r="FG1" s="295"/>
      <c r="FH1" s="295"/>
      <c r="FI1" s="295"/>
      <c r="FJ1" s="295"/>
      <c r="FK1" s="295"/>
      <c r="FL1" s="295"/>
      <c r="FM1" s="295"/>
      <c r="FN1" s="295"/>
    </row>
    <row r="2" spans="1:170" ht="13">
      <c r="A2" s="40" t="s">
        <v>126</v>
      </c>
      <c r="B2" s="146" t="str">
        <f>'00.Info'!N2</f>
        <v>Versión: 2.0.1</v>
      </c>
      <c r="C2" s="144" t="s">
        <v>127</v>
      </c>
      <c r="D2" s="147" t="str">
        <f>'01.Definición de ámbito'!C7</f>
        <v>SUBDIRECCIÓN GENERAL DE ADMINISTRACIÓN ELECTRÓNICA</v>
      </c>
      <c r="E2" s="144" t="s">
        <v>293</v>
      </c>
      <c r="F2" s="147" t="str">
        <f>'02.Tecnologías'!C9</f>
        <v>Sí</v>
      </c>
      <c r="G2" s="205" t="s">
        <v>343</v>
      </c>
      <c r="H2" s="205" t="s">
        <v>344</v>
      </c>
      <c r="I2" s="205"/>
      <c r="J2" s="205"/>
      <c r="K2" s="153" t="s">
        <v>346</v>
      </c>
      <c r="L2" s="207">
        <f>'03.Muestra'!D45</f>
        <v>10</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ht="13">
      <c r="C3" s="144" t="s">
        <v>132</v>
      </c>
      <c r="D3" s="147" t="str">
        <f>'01.Definición de ámbito'!C9</f>
        <v>A13043893</v>
      </c>
      <c r="E3" s="144" t="s">
        <v>296</v>
      </c>
      <c r="F3" s="147" t="str">
        <f>'02.Tecnologías'!C10</f>
        <v>No</v>
      </c>
      <c r="G3" s="147">
        <f>'02.Tecnologías'!K13</f>
        <v>0</v>
      </c>
      <c r="H3" s="147">
        <f>'02.Tecnologías'!L13</f>
        <v>0</v>
      </c>
      <c r="I3" s="206"/>
      <c r="J3" s="206"/>
      <c r="K3" s="153" t="s">
        <v>347</v>
      </c>
      <c r="L3" s="207">
        <f>'03.Muestra'!D47</f>
        <v>5</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v>
      </c>
      <c r="Y3" s="148">
        <f t="array" ref="Y3:Y37">IFERROR(INDEX('03.Muestra'!$G$8:$G$42,SMALL(IF("Página Web"='03.Muestra'!$D$8:$D$42,ROW('03.Muestra'!$G$8:$GE$42)-MIN(ROW('03.Muestra'!$D$8:$D$42))+1,""),ROW()-2)),"")</f>
        <v>0</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Pasa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Falla</v>
      </c>
      <c r="BN3" s="146" t="str">
        <f ca="1">RESULTADOS!AR20</f>
        <v>N/A</v>
      </c>
      <c r="BO3" s="146" t="str">
        <f ca="1">RESULTADOS!AS20</f>
        <v>N/A</v>
      </c>
      <c r="BP3" s="146" t="str">
        <f ca="1">RESULTADOS!AT20</f>
        <v>N/A</v>
      </c>
      <c r="BQ3" s="146" t="str">
        <f ca="1">RESULTADOS!AU20</f>
        <v>N/A</v>
      </c>
      <c r="BR3" s="146" t="str">
        <f ca="1">RESULTADOS!AV20</f>
        <v>Pasa</v>
      </c>
      <c r="BS3" s="146" t="str">
        <f ca="1">RESULTADOS!AW20</f>
        <v>Pasa</v>
      </c>
      <c r="BT3" s="146" t="str">
        <f ca="1">RESULTADOS!AX20</f>
        <v>N/A</v>
      </c>
      <c r="BU3" s="146" t="str">
        <f ca="1">RESULTADOS!AY20</f>
        <v>Falla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N/A</v>
      </c>
      <c r="CD3" s="146" t="str">
        <f ca="1">RESULTADOS!BH20</f>
        <v>N/A</v>
      </c>
      <c r="CE3" s="146" t="str">
        <f ca="1">RESULTADOS!BI20</f>
        <v>Pasa</v>
      </c>
      <c r="CF3" s="146" t="str">
        <f ca="1">RESULTADOS!BJ20</f>
        <v>Pasa</v>
      </c>
      <c r="CG3" s="146" t="str">
        <f ca="1">RESULTADOS!BK20</f>
        <v>Pasa</v>
      </c>
      <c r="CH3" s="146" t="str">
        <f ca="1">RESULTADOS!BL20</f>
        <v>Pasa</v>
      </c>
      <c r="CI3" s="146" t="str">
        <f ca="1">RESULTADOS!BM20</f>
        <v>N/A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Pasa</v>
      </c>
      <c r="CQ3" s="146" t="str">
        <f ca="1">RESULTADOS!BU20</f>
        <v>N/A</v>
      </c>
      <c r="CR3" s="146" t="str">
        <f ca="1">RESULTADOS!BV20</f>
        <v>Pasa</v>
      </c>
      <c r="CS3" s="146" t="str">
        <f ca="1">RESULTADOS!BW20</f>
        <v>Pasa</v>
      </c>
      <c r="CT3" s="146" t="str">
        <f ca="1">RESULTADOS!BX20</f>
        <v>Pasa</v>
      </c>
      <c r="CU3" s="146" t="str">
        <f ca="1">RESULTADOS!BY20</f>
        <v>Pasa</v>
      </c>
      <c r="CV3" s="146" t="str">
        <f ca="1">RESULTADOS!BZ20</f>
        <v>N/A</v>
      </c>
      <c r="CW3" s="146" t="str">
        <f ca="1">RESULTADOS!CA20</f>
        <v>N/A</v>
      </c>
      <c r="CX3" s="146" t="str">
        <f ca="1">RESULTADOS!CB20</f>
        <v>N/A</v>
      </c>
      <c r="CY3" s="146" t="str">
        <f ca="1">RESULTADOS!CC20</f>
        <v>N/A</v>
      </c>
      <c r="CZ3" s="146" t="str">
        <f ca="1">RESULTADOS!CD20</f>
        <v>Falla</v>
      </c>
      <c r="DA3" s="146" t="str">
        <f ca="1">RESULTADOS!CE20</f>
        <v>Falla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Pasa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135</v>
      </c>
      <c r="D4" s="147" t="str">
        <f>'01.Definición de ámbito'!C11</f>
        <v>COMUNIDAD DE MADRID</v>
      </c>
      <c r="E4" s="144" t="s">
        <v>299</v>
      </c>
      <c r="F4" s="147" t="str">
        <f>'02.Tecnologías'!C11</f>
        <v>No</v>
      </c>
      <c r="G4" s="147">
        <f>'02.Tecnologías'!K14</f>
        <v>0</v>
      </c>
      <c r="H4" s="147">
        <f>'02.Tecnologías'!L14</f>
        <v>0</v>
      </c>
      <c r="I4" s="206"/>
      <c r="J4" s="206"/>
      <c r="K4" s="153" t="s">
        <v>348</v>
      </c>
      <c r="L4" s="207">
        <f>'03.Muestra'!D49</f>
        <v>5</v>
      </c>
      <c r="M4" s="144"/>
      <c r="T4" s="148">
        <f>RESULTADOS!B21</f>
        <v>2</v>
      </c>
      <c r="U4" s="148" t="str">
        <f>RESULTADOS!C21</f>
        <v>Servicios e información</v>
      </c>
      <c r="V4" s="148" t="str">
        <f t="shared" ref="V4:V37" si="0">IF(T4&lt;&gt;"","Página web","")</f>
        <v>Página web</v>
      </c>
      <c r="W4" s="148" t="str">
        <v>Aleatoria</v>
      </c>
      <c r="X4" s="148" t="str">
        <f>RESULTADOS!D21</f>
        <v>https://www.comunidad.madrid/servicios</v>
      </c>
      <c r="Y4" s="148">
        <v>0</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Falla</v>
      </c>
      <c r="BN4" s="146" t="str">
        <f ca="1">RESULTADOS!AR21</f>
        <v>N/A</v>
      </c>
      <c r="BO4" s="146" t="str">
        <f ca="1">RESULTADOS!AS21</f>
        <v>N/A</v>
      </c>
      <c r="BP4" s="146" t="str">
        <f ca="1">RESULTADOS!AT21</f>
        <v>N/A</v>
      </c>
      <c r="BQ4" s="146" t="str">
        <f ca="1">RESULTADOS!AU21</f>
        <v>N/A</v>
      </c>
      <c r="BR4" s="146" t="str">
        <f ca="1">RESULTADOS!AV21</f>
        <v>Pasa</v>
      </c>
      <c r="BS4" s="146" t="str">
        <f ca="1">RESULTADOS!AW21</f>
        <v>Pasa</v>
      </c>
      <c r="BT4" s="146" t="str">
        <f ca="1">RESULTADOS!AX21</f>
        <v>N/A</v>
      </c>
      <c r="BU4" s="146" t="str">
        <f ca="1">RESULTADOS!AY21</f>
        <v>Falla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N/A</v>
      </c>
      <c r="CD4" s="146" t="str">
        <f ca="1">RESULTADOS!BH21</f>
        <v>N/A</v>
      </c>
      <c r="CE4" s="146" t="str">
        <f ca="1">RESULTADOS!BI21</f>
        <v>Pasa</v>
      </c>
      <c r="CF4" s="146" t="str">
        <f ca="1">RESULTADOS!BJ21</f>
        <v>Pasa</v>
      </c>
      <c r="CG4" s="146" t="str">
        <f ca="1">RESULTADOS!BK21</f>
        <v>Pasa</v>
      </c>
      <c r="CH4" s="146" t="str">
        <f ca="1">RESULTADOS!BL21</f>
        <v>Pasa</v>
      </c>
      <c r="CI4" s="146" t="str">
        <f ca="1">RESULTADOS!BM21</f>
        <v>N/A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Pasa</v>
      </c>
      <c r="CQ4" s="146" t="str">
        <f ca="1">RESULTADOS!BU21</f>
        <v>N/A</v>
      </c>
      <c r="CR4" s="146" t="str">
        <f ca="1">RESULTADOS!BV21</f>
        <v>Pasa</v>
      </c>
      <c r="CS4" s="146" t="str">
        <f ca="1">RESULTADOS!BW21</f>
        <v>Pasa</v>
      </c>
      <c r="CT4" s="146" t="str">
        <f ca="1">RESULTADOS!BX21</f>
        <v>Pasa</v>
      </c>
      <c r="CU4" s="146" t="str">
        <f ca="1">RESULTADOS!BY21</f>
        <v>Pasa</v>
      </c>
      <c r="CV4" s="146" t="str">
        <f ca="1">RESULTADOS!BZ21</f>
        <v>N/A</v>
      </c>
      <c r="CW4" s="146" t="str">
        <f ca="1">RESULTADOS!CA21</f>
        <v>N/A</v>
      </c>
      <c r="CX4" s="146" t="str">
        <f ca="1">RESULTADOS!CB21</f>
        <v>N/A</v>
      </c>
      <c r="CY4" s="146" t="str">
        <f ca="1">RESULTADOS!CC21</f>
        <v>N/A</v>
      </c>
      <c r="CZ4" s="146" t="str">
        <f ca="1">RESULTADOS!CD21</f>
        <v>Falla</v>
      </c>
      <c r="DA4" s="146" t="str">
        <f ca="1">RESULTADOS!CE21</f>
        <v>Falla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Pasa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136</v>
      </c>
      <c r="D5" s="147" t="str">
        <f>'01.Definición de ámbito'!C13</f>
        <v>A13002908</v>
      </c>
      <c r="E5" s="144" t="s">
        <v>302</v>
      </c>
      <c r="F5" s="147" t="str">
        <f>'02.Tecnologías'!C12</f>
        <v>Sí</v>
      </c>
      <c r="G5" s="147">
        <f>'02.Tecnologías'!K15</f>
        <v>0</v>
      </c>
      <c r="H5" s="147">
        <f>'02.Tecnologías'!L15</f>
        <v>0</v>
      </c>
      <c r="I5" s="206"/>
      <c r="J5" s="206"/>
      <c r="K5" s="153" t="s">
        <v>151</v>
      </c>
      <c r="L5" s="207" t="str">
        <f>'03.Muestra'!D52</f>
        <v>NO</v>
      </c>
      <c r="M5" s="144"/>
      <c r="T5" s="148">
        <f>RESULTADOS!B22</f>
        <v>3</v>
      </c>
      <c r="U5" s="148" t="str">
        <f>RESULTADOS!C22</f>
        <v>Cultura y turismo</v>
      </c>
      <c r="V5" s="148" t="str">
        <f t="shared" si="0"/>
        <v>Página web</v>
      </c>
      <c r="W5" s="148" t="str">
        <v>Aleatoria</v>
      </c>
      <c r="X5" s="148" t="str">
        <f>RESULTADOS!D22</f>
        <v>https://www.comunidad.madrid/cultura</v>
      </c>
      <c r="Y5" s="148">
        <v>0</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Falla</v>
      </c>
      <c r="BM5" s="146" t="str">
        <f ca="1">RESULTADOS!AQ22</f>
        <v>Falla</v>
      </c>
      <c r="BN5" s="146" t="str">
        <f ca="1">RESULTADOS!AR22</f>
        <v>N/A</v>
      </c>
      <c r="BO5" s="146" t="str">
        <f ca="1">RESULTADOS!AS22</f>
        <v>N/A</v>
      </c>
      <c r="BP5" s="146" t="str">
        <f ca="1">RESULTADOS!AT22</f>
        <v>N/A</v>
      </c>
      <c r="BQ5" s="146" t="str">
        <f ca="1">RESULTADOS!AU22</f>
        <v>N/A</v>
      </c>
      <c r="BR5" s="146" t="str">
        <f ca="1">RESULTADOS!AV22</f>
        <v>Pasa</v>
      </c>
      <c r="BS5" s="146" t="str">
        <f ca="1">RESULTADOS!AW22</f>
        <v>Pasa</v>
      </c>
      <c r="BT5" s="146" t="str">
        <f ca="1">RESULTADOS!AX22</f>
        <v>N/A</v>
      </c>
      <c r="BU5" s="146" t="str">
        <f ca="1">RESULTADOS!AY22</f>
        <v>Falla</v>
      </c>
      <c r="BV5" s="146" t="str">
        <f ca="1">RESULTADOS!AZ22</f>
        <v>Pasa</v>
      </c>
      <c r="BW5" s="146" t="str">
        <f ca="1">RESULTADOS!BA22</f>
        <v>Pasa</v>
      </c>
      <c r="BX5" s="146" t="str">
        <f ca="1">RESULTADOS!BB22</f>
        <v>Pasa</v>
      </c>
      <c r="BY5" s="146" t="str">
        <f ca="1">RESULTADOS!BC22</f>
        <v>Falla</v>
      </c>
      <c r="BZ5" s="146" t="str">
        <f ca="1">RESULTADOS!BD22</f>
        <v>Falla</v>
      </c>
      <c r="CA5" s="146" t="str">
        <f ca="1">RESULTADOS!BE22</f>
        <v>N/A</v>
      </c>
      <c r="CB5" s="146" t="str">
        <f ca="1">RESULTADOS!BF22</f>
        <v>N/A</v>
      </c>
      <c r="CC5" s="146" t="str">
        <f ca="1">RESULTADOS!BG22</f>
        <v>N/A</v>
      </c>
      <c r="CD5" s="146" t="str">
        <f ca="1">RESULTADOS!BH22</f>
        <v>N/A</v>
      </c>
      <c r="CE5" s="146" t="str">
        <f ca="1">RESULTADOS!BI22</f>
        <v>Pasa</v>
      </c>
      <c r="CF5" s="146" t="str">
        <f ca="1">RESULTADOS!BJ22</f>
        <v>Pasa</v>
      </c>
      <c r="CG5" s="146" t="str">
        <f ca="1">RESULTADOS!BK22</f>
        <v>Falla</v>
      </c>
      <c r="CH5" s="146" t="str">
        <f ca="1">RESULTADOS!BL22</f>
        <v>Pasa</v>
      </c>
      <c r="CI5" s="146" t="str">
        <f ca="1">RESULTADOS!BM22</f>
        <v>N/A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Pasa</v>
      </c>
      <c r="CQ5" s="146" t="str">
        <f ca="1">RESULTADOS!BU22</f>
        <v>N/A</v>
      </c>
      <c r="CR5" s="146" t="str">
        <f ca="1">RESULTADOS!BV22</f>
        <v>Pasa</v>
      </c>
      <c r="CS5" s="146" t="str">
        <f ca="1">RESULTADOS!BW22</f>
        <v>Pasa</v>
      </c>
      <c r="CT5" s="146" t="str">
        <f ca="1">RESULTADOS!BX22</f>
        <v>Pasa</v>
      </c>
      <c r="CU5" s="146" t="str">
        <f ca="1">RESULTADOS!BY22</f>
        <v>Pasa</v>
      </c>
      <c r="CV5" s="146" t="str">
        <f ca="1">RESULTADOS!BZ22</f>
        <v>N/A</v>
      </c>
      <c r="CW5" s="146" t="str">
        <f ca="1">RESULTADOS!CA22</f>
        <v>N/A</v>
      </c>
      <c r="CX5" s="146" t="str">
        <f ca="1">RESULTADOS!CB22</f>
        <v>N/A</v>
      </c>
      <c r="CY5" s="146" t="str">
        <f ca="1">RESULTADOS!CC22</f>
        <v>N/A</v>
      </c>
      <c r="CZ5" s="146" t="str">
        <f ca="1">RESULTADOS!CD22</f>
        <v>Falla</v>
      </c>
      <c r="DA5" s="146" t="str">
        <f ca="1">RESULTADOS!CE22</f>
        <v>Falla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Pasa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281</v>
      </c>
      <c r="D6" s="147" t="str">
        <f>'01.Definición de ámbito'!C17</f>
        <v>MADRID DIGITAL</v>
      </c>
      <c r="E6" s="144" t="s">
        <v>307</v>
      </c>
      <c r="F6" s="147" t="str">
        <f>'02.Tecnologías'!C13</f>
        <v>Sí</v>
      </c>
      <c r="G6" s="147">
        <f>'02.Tecnologías'!K16</f>
        <v>0</v>
      </c>
      <c r="H6" s="147">
        <f>'02.Tecnologías'!L16</f>
        <v>0</v>
      </c>
      <c r="I6" s="206"/>
      <c r="J6" s="206"/>
      <c r="K6" s="144"/>
      <c r="L6" s="144"/>
      <c r="M6" s="144"/>
      <c r="T6" s="148">
        <f>RESULTADOS!B23</f>
        <v>4</v>
      </c>
      <c r="U6" s="148" t="str">
        <f>RESULTADOS!C23</f>
        <v>Inversión y empresa</v>
      </c>
      <c r="V6" s="148" t="str">
        <f t="shared" si="0"/>
        <v>Página web</v>
      </c>
      <c r="W6" s="148" t="str">
        <v>Aleatoria</v>
      </c>
      <c r="X6" s="148" t="str">
        <f>RESULTADOS!D23</f>
        <v>https://www.comunidad.madrid/inversion</v>
      </c>
      <c r="Y6" s="148">
        <v>0</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Pasa</v>
      </c>
      <c r="BG6" s="146" t="str">
        <f ca="1">RESULTADOS!AK23</f>
        <v>N/A</v>
      </c>
      <c r="BH6" s="146" t="str">
        <f ca="1">RESULTADOS!AL23</f>
        <v>N/A</v>
      </c>
      <c r="BI6" s="146" t="str">
        <f ca="1">RESULTADOS!AM23</f>
        <v>N/A</v>
      </c>
      <c r="BJ6" s="146" t="str">
        <f ca="1">RESULTADOS!AN23</f>
        <v>N/A</v>
      </c>
      <c r="BK6" s="146" t="str">
        <f ca="1">RESULTADOS!AO23</f>
        <v>Pasa</v>
      </c>
      <c r="BL6" s="146" t="str">
        <f ca="1">RESULTADOS!AP23</f>
        <v>Pasa</v>
      </c>
      <c r="BM6" s="146" t="str">
        <f ca="1">RESULTADOS!AQ23</f>
        <v>Falla</v>
      </c>
      <c r="BN6" s="146" t="str">
        <f ca="1">RESULTADOS!AR23</f>
        <v>N/A</v>
      </c>
      <c r="BO6" s="146" t="str">
        <f ca="1">RESULTADOS!AS23</f>
        <v>N/A</v>
      </c>
      <c r="BP6" s="146" t="str">
        <f ca="1">RESULTADOS!AT23</f>
        <v>N/A</v>
      </c>
      <c r="BQ6" s="146" t="str">
        <f ca="1">RESULTADOS!AU23</f>
        <v>N/A</v>
      </c>
      <c r="BR6" s="146" t="str">
        <f ca="1">RESULTADOS!AV23</f>
        <v>Pasa</v>
      </c>
      <c r="BS6" s="146" t="str">
        <f ca="1">RESULTADOS!AW23</f>
        <v>Pasa</v>
      </c>
      <c r="BT6" s="146" t="str">
        <f ca="1">RESULTADOS!AX23</f>
        <v>N/A</v>
      </c>
      <c r="BU6" s="146" t="str">
        <f ca="1">RESULTADOS!AY23</f>
        <v>Falla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N/A</v>
      </c>
      <c r="CD6" s="146" t="str">
        <f ca="1">RESULTADOS!BH23</f>
        <v>N/A</v>
      </c>
      <c r="CE6" s="146" t="str">
        <f ca="1">RESULTADOS!BI23</f>
        <v>Pasa</v>
      </c>
      <c r="CF6" s="146" t="str">
        <f ca="1">RESULTADOS!BJ23</f>
        <v>Pasa</v>
      </c>
      <c r="CG6" s="146" t="str">
        <f ca="1">RESULTADOS!BK23</f>
        <v>Pasa</v>
      </c>
      <c r="CH6" s="146" t="str">
        <f ca="1">RESULTADOS!BL23</f>
        <v>Falla</v>
      </c>
      <c r="CI6" s="146" t="str">
        <f ca="1">RESULTADOS!BM23</f>
        <v>N/A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Pasa</v>
      </c>
      <c r="CQ6" s="146" t="str">
        <f ca="1">RESULTADOS!BU23</f>
        <v>N/A</v>
      </c>
      <c r="CR6" s="146" t="str">
        <f ca="1">RESULTADOS!BV23</f>
        <v>Pasa</v>
      </c>
      <c r="CS6" s="146" t="str">
        <f ca="1">RESULTADOS!BW23</f>
        <v>Pasa</v>
      </c>
      <c r="CT6" s="146" t="str">
        <f ca="1">RESULTADOS!BX23</f>
        <v>Pasa</v>
      </c>
      <c r="CU6" s="146" t="str">
        <f ca="1">RESULTADOS!BY23</f>
        <v>Pasa</v>
      </c>
      <c r="CV6" s="146" t="str">
        <f ca="1">RESULTADOS!BZ23</f>
        <v>N/A</v>
      </c>
      <c r="CW6" s="146" t="str">
        <f ca="1">RESULTADOS!CA23</f>
        <v>N/A</v>
      </c>
      <c r="CX6" s="146" t="str">
        <f ca="1">RESULTADOS!CB23</f>
        <v>N/A</v>
      </c>
      <c r="CY6" s="146" t="str">
        <f ca="1">RESULTADOS!CC23</f>
        <v>N/A</v>
      </c>
      <c r="CZ6" s="146" t="str">
        <f ca="1">RESULTADOS!CD23</f>
        <v>Falla</v>
      </c>
      <c r="DA6" s="146" t="str">
        <f ca="1">RESULTADOS!CE23</f>
        <v>Falla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Pasa</v>
      </c>
      <c r="DM6" s="146" t="str">
        <f ca="1">RESULTADOS!CQ23</f>
        <v>Pasa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137</v>
      </c>
      <c r="D7" s="147" t="str">
        <f>'01.Definición de ámbito'!C19</f>
        <v>A13033692</v>
      </c>
      <c r="E7" s="144" t="s">
        <v>294</v>
      </c>
      <c r="F7" s="147" t="str">
        <f>'02.Tecnologías'!F9</f>
        <v>No</v>
      </c>
      <c r="G7" s="147">
        <f>'02.Tecnologías'!K17</f>
        <v>0</v>
      </c>
      <c r="H7" s="147">
        <f>'02.Tecnologías'!L17</f>
        <v>0</v>
      </c>
      <c r="I7" s="206"/>
      <c r="J7" s="206"/>
      <c r="K7" s="144"/>
      <c r="L7" s="144"/>
      <c r="M7" s="144"/>
      <c r="T7" s="148">
        <f>RESULTADOS!B24</f>
        <v>5</v>
      </c>
      <c r="U7" s="148" t="str">
        <f>RESULTADOS!C24</f>
        <v>Acción de gobierno</v>
      </c>
      <c r="V7" s="148" t="str">
        <f t="shared" si="0"/>
        <v>Página web</v>
      </c>
      <c r="W7" s="148" t="str">
        <v>Aleatoria</v>
      </c>
      <c r="X7" s="148" t="str">
        <f>RESULTADOS!D24</f>
        <v>https://www.comunidad.madrid/gobierno</v>
      </c>
      <c r="Y7" s="148">
        <v>0</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Pasa</v>
      </c>
      <c r="BL7" s="146" t="str">
        <f ca="1">RESULTADOS!AP24</f>
        <v>Pasa</v>
      </c>
      <c r="BM7" s="146" t="str">
        <f ca="1">RESULTADOS!AQ24</f>
        <v>Falla</v>
      </c>
      <c r="BN7" s="146" t="str">
        <f ca="1">RESULTADOS!AR24</f>
        <v>N/A</v>
      </c>
      <c r="BO7" s="146" t="str">
        <f ca="1">RESULTADOS!AS24</f>
        <v>N/A</v>
      </c>
      <c r="BP7" s="146" t="str">
        <f ca="1">RESULTADOS!AT24</f>
        <v>N/A</v>
      </c>
      <c r="BQ7" s="146" t="str">
        <f ca="1">RESULTADOS!AU24</f>
        <v>N/A</v>
      </c>
      <c r="BR7" s="146" t="str">
        <f ca="1">RESULTADOS!AV24</f>
        <v>Pasa</v>
      </c>
      <c r="BS7" s="146" t="str">
        <f ca="1">RESULTADOS!AW24</f>
        <v>Pasa</v>
      </c>
      <c r="BT7" s="146" t="str">
        <f ca="1">RESULTADOS!AX24</f>
        <v>N/A</v>
      </c>
      <c r="BU7" s="146" t="str">
        <f ca="1">RESULTADOS!AY24</f>
        <v>Falla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N/A</v>
      </c>
      <c r="CD7" s="146" t="str">
        <f ca="1">RESULTADOS!BH24</f>
        <v>N/A</v>
      </c>
      <c r="CE7" s="146" t="str">
        <f ca="1">RESULTADOS!BI24</f>
        <v>Pasa</v>
      </c>
      <c r="CF7" s="146" t="str">
        <f ca="1">RESULTADOS!BJ24</f>
        <v>Pasa</v>
      </c>
      <c r="CG7" s="146" t="str">
        <f ca="1">RESULTADOS!BK24</f>
        <v>Pasa</v>
      </c>
      <c r="CH7" s="146" t="str">
        <f ca="1">RESULTADOS!BL24</f>
        <v>Falla</v>
      </c>
      <c r="CI7" s="146" t="str">
        <f ca="1">RESULTADOS!BM24</f>
        <v>N/A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Pasa</v>
      </c>
      <c r="CQ7" s="146" t="str">
        <f ca="1">RESULTADOS!BU24</f>
        <v>N/A</v>
      </c>
      <c r="CR7" s="146" t="str">
        <f ca="1">RESULTADOS!BV24</f>
        <v>Pasa</v>
      </c>
      <c r="CS7" s="146" t="str">
        <f ca="1">RESULTADOS!BW24</f>
        <v>Pasa</v>
      </c>
      <c r="CT7" s="146" t="str">
        <f ca="1">RESULTADOS!BX24</f>
        <v>Pasa</v>
      </c>
      <c r="CU7" s="146" t="str">
        <f ca="1">RESULTADOS!BY24</f>
        <v>Pasa</v>
      </c>
      <c r="CV7" s="146" t="str">
        <f ca="1">RESULTADOS!BZ24</f>
        <v>N/A</v>
      </c>
      <c r="CW7" s="146" t="str">
        <f ca="1">RESULTADOS!CA24</f>
        <v>N/A</v>
      </c>
      <c r="CX7" s="146" t="str">
        <f ca="1">RESULTADOS!CB24</f>
        <v>N/A</v>
      </c>
      <c r="CY7" s="146" t="str">
        <f ca="1">RESULTADOS!CC24</f>
        <v>N/A</v>
      </c>
      <c r="CZ7" s="146" t="str">
        <f ca="1">RESULTADOS!CD24</f>
        <v>Falla</v>
      </c>
      <c r="DA7" s="146" t="str">
        <f ca="1">RESULTADOS!CE24</f>
        <v>Falla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Pasa</v>
      </c>
      <c r="DM7" s="146" t="str">
        <f ca="1">RESULTADOS!CQ24</f>
        <v>Pasa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282</v>
      </c>
      <c r="D8" s="147" t="str">
        <f>'01.Definición de ámbito'!C21</f>
        <v>MD_CANALES_DIGITALES@madrid.org </v>
      </c>
      <c r="E8" s="144" t="s">
        <v>297</v>
      </c>
      <c r="F8" s="147" t="str">
        <f>'02.Tecnologías'!F10</f>
        <v>No</v>
      </c>
      <c r="G8" s="147">
        <f>'02.Tecnologías'!K18</f>
        <v>0</v>
      </c>
      <c r="H8" s="147">
        <f>'02.Tecnologías'!L18</f>
        <v>0</v>
      </c>
      <c r="I8" s="206"/>
      <c r="J8" s="206"/>
      <c r="K8" s="144"/>
      <c r="L8" s="144"/>
      <c r="M8" s="144"/>
      <c r="T8" s="148">
        <f>RESULTADOS!B25</f>
        <v>6</v>
      </c>
      <c r="U8" s="148" t="str">
        <f>RESULTADOS!C25</f>
        <v>Video</v>
      </c>
      <c r="V8" s="148" t="str">
        <f t="shared" si="0"/>
        <v>Página web</v>
      </c>
      <c r="W8" s="148" t="str">
        <v>Aleatoria</v>
      </c>
      <c r="X8" s="148" t="str">
        <f>RESULTADOS!D25</f>
        <v>https://www.comunidad.madrid/noticias/2023/12/18/diaz-ayuso-reconoce-35-personas-han-realizado-actuaciones-extraordinarias-ayuda-servicio-metro-este-ano-representan-valores-madrid</v>
      </c>
      <c r="Y8" s="148">
        <v>0</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Pasa</v>
      </c>
      <c r="AX8" s="146" t="str">
        <f ca="1">RESULTADOS!AB25</f>
        <v>Pasa</v>
      </c>
      <c r="AY8" s="146" t="str">
        <f ca="1">RESULTADOS!AC25</f>
        <v>Pasa</v>
      </c>
      <c r="AZ8" s="146" t="str">
        <f ca="1">RESULTADOS!AD25</f>
        <v>Pasa</v>
      </c>
      <c r="BA8" s="146" t="str">
        <f ca="1">RESULTADOS!AE25</f>
        <v>Pasa</v>
      </c>
      <c r="BB8" s="146" t="str">
        <f ca="1">RESULTADOS!AF25</f>
        <v>Pasa</v>
      </c>
      <c r="BC8" s="146" t="str">
        <f ca="1">RESULTADOS!AG25</f>
        <v>Pasa</v>
      </c>
      <c r="BD8" s="146" t="str">
        <f ca="1">RESULTADOS!AH25</f>
        <v>Pasa</v>
      </c>
      <c r="BE8" s="146" t="str">
        <f ca="1">RESULTADOS!AI25</f>
        <v>Falla</v>
      </c>
      <c r="BF8" s="146" t="str">
        <f ca="1">RESULTADOS!AJ25</f>
        <v>Pasa</v>
      </c>
      <c r="BG8" s="146" t="str">
        <f ca="1">RESULTADOS!AK25</f>
        <v>Pasa</v>
      </c>
      <c r="BH8" s="146" t="str">
        <f ca="1">RESULTADOS!AL25</f>
        <v>Pasa</v>
      </c>
      <c r="BI8" s="146" t="str">
        <f ca="1">RESULTADOS!AM25</f>
        <v>Pasa</v>
      </c>
      <c r="BJ8" s="146" t="str">
        <f ca="1">RESULTADOS!AN25</f>
        <v>Pasa</v>
      </c>
      <c r="BK8" s="146" t="str">
        <f ca="1">RESULTADOS!AO25</f>
        <v>Pasa</v>
      </c>
      <c r="BL8" s="146" t="str">
        <f ca="1">RESULTADOS!AP25</f>
        <v>Pasa</v>
      </c>
      <c r="BM8" s="146" t="str">
        <f ca="1">RESULTADOS!AQ25</f>
        <v>Falla</v>
      </c>
      <c r="BN8" s="146" t="str">
        <f ca="1">RESULTADOS!AR25</f>
        <v>N/A</v>
      </c>
      <c r="BO8" s="146" t="str">
        <f ca="1">RESULTADOS!AS25</f>
        <v>N/A</v>
      </c>
      <c r="BP8" s="146" t="str">
        <f ca="1">RESULTADOS!AT25</f>
        <v>N/A</v>
      </c>
      <c r="BQ8" s="146" t="str">
        <f ca="1">RESULTADOS!AU25</f>
        <v>N/A</v>
      </c>
      <c r="BR8" s="146" t="str">
        <f ca="1">RESULTADOS!AV25</f>
        <v>Pasa</v>
      </c>
      <c r="BS8" s="146" t="str">
        <f ca="1">RESULTADOS!AW25</f>
        <v>Pasa</v>
      </c>
      <c r="BT8" s="146" t="str">
        <f ca="1">RESULTADOS!AX25</f>
        <v>N/A</v>
      </c>
      <c r="BU8" s="146" t="str">
        <f ca="1">RESULTADOS!AY25</f>
        <v>Falla</v>
      </c>
      <c r="BV8" s="146" t="str">
        <f ca="1">RESULTADOS!AZ25</f>
        <v>Pasa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Pasa</v>
      </c>
      <c r="CF8" s="146" t="str">
        <f ca="1">RESULTADOS!BJ25</f>
        <v>Pasa</v>
      </c>
      <c r="CG8" s="146" t="str">
        <f ca="1">RESULTADOS!BK25</f>
        <v>Pasa</v>
      </c>
      <c r="CH8" s="146" t="str">
        <f ca="1">RESULTADOS!BL25</f>
        <v>Pasa</v>
      </c>
      <c r="CI8" s="146" t="str">
        <f ca="1">RESULTADOS!BM25</f>
        <v>N/A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Pasa</v>
      </c>
      <c r="CQ8" s="146" t="str">
        <f ca="1">RESULTADOS!BU25</f>
        <v>N/A</v>
      </c>
      <c r="CR8" s="146" t="str">
        <f ca="1">RESULTADOS!BV25</f>
        <v>Pasa</v>
      </c>
      <c r="CS8" s="146" t="str">
        <f ca="1">RESULTADOS!BW25</f>
        <v>Pasa</v>
      </c>
      <c r="CT8" s="146" t="str">
        <f ca="1">RESULTADOS!BX25</f>
        <v>Pasa</v>
      </c>
      <c r="CU8" s="146" t="str">
        <f ca="1">RESULTADOS!BY25</f>
        <v>Pasa</v>
      </c>
      <c r="CV8" s="146" t="str">
        <f ca="1">RESULTADOS!BZ25</f>
        <v>N/A</v>
      </c>
      <c r="CW8" s="146" t="str">
        <f ca="1">RESULTADOS!CA25</f>
        <v>N/A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Pasa</v>
      </c>
      <c r="DM8" s="146" t="str">
        <f ca="1">RESULTADOS!CQ25</f>
        <v>Pasa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Contacto</v>
      </c>
      <c r="V9" s="148" t="str">
        <f t="shared" si="0"/>
        <v>Página web</v>
      </c>
      <c r="W9" s="148" t="str">
        <v>Contacto</v>
      </c>
      <c r="X9" s="148" t="str">
        <f>RESULTADOS!D26</f>
        <v>https://www.comunidad.madrid/servicios/atencion-ciudadano</v>
      </c>
      <c r="Y9" s="148">
        <v>0</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Pasa</v>
      </c>
      <c r="BH9" s="146" t="str">
        <f ca="1">RESULTADOS!AL26</f>
        <v>N/A</v>
      </c>
      <c r="BI9" s="146" t="str">
        <f ca="1">RESULTADOS!AM26</f>
        <v>N/A</v>
      </c>
      <c r="BJ9" s="146" t="str">
        <f ca="1">RESULTADOS!AN26</f>
        <v>N/A</v>
      </c>
      <c r="BK9" s="146" t="str">
        <f ca="1">RESULTADOS!AO26</f>
        <v>Pasa</v>
      </c>
      <c r="BL9" s="146" t="str">
        <f ca="1">RESULTADOS!AP26</f>
        <v>Pasa</v>
      </c>
      <c r="BM9" s="146" t="str">
        <f ca="1">RESULTADOS!AQ26</f>
        <v>Falla</v>
      </c>
      <c r="BN9" s="146" t="str">
        <f ca="1">RESULTADOS!AR26</f>
        <v>N/A</v>
      </c>
      <c r="BO9" s="146" t="str">
        <f ca="1">RESULTADOS!AS26</f>
        <v>N/A</v>
      </c>
      <c r="BP9" s="146" t="str">
        <f ca="1">RESULTADOS!AT26</f>
        <v>N/A</v>
      </c>
      <c r="BQ9" s="146" t="str">
        <f ca="1">RESULTADOS!AU26</f>
        <v>N/A</v>
      </c>
      <c r="BR9" s="146" t="str">
        <f ca="1">RESULTADOS!AV26</f>
        <v>Pasa</v>
      </c>
      <c r="BS9" s="146" t="str">
        <f ca="1">RESULTADOS!AW26</f>
        <v>Pasa</v>
      </c>
      <c r="BT9" s="146" t="str">
        <f ca="1">RESULTADOS!AX26</f>
        <v>N/A</v>
      </c>
      <c r="BU9" s="146" t="str">
        <f ca="1">RESULTADOS!AY26</f>
        <v>Falla</v>
      </c>
      <c r="BV9" s="146" t="str">
        <f ca="1">RESULTADOS!AZ26</f>
        <v>Pasa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Pasa</v>
      </c>
      <c r="CF9" s="146" t="str">
        <f ca="1">RESULTADOS!BJ26</f>
        <v>Pasa</v>
      </c>
      <c r="CG9" s="146" t="str">
        <f ca="1">RESULTADOS!BK26</f>
        <v>Pasa</v>
      </c>
      <c r="CH9" s="146" t="str">
        <f ca="1">RESULTADOS!BL26</f>
        <v>Pasa</v>
      </c>
      <c r="CI9" s="146" t="str">
        <f ca="1">RESULTADOS!BM26</f>
        <v>N/A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Pasa</v>
      </c>
      <c r="CQ9" s="146" t="str">
        <f ca="1">RESULTADOS!BU26</f>
        <v>N/A</v>
      </c>
      <c r="CR9" s="146" t="str">
        <f ca="1">RESULTADOS!BV26</f>
        <v>Pasa</v>
      </c>
      <c r="CS9" s="146" t="str">
        <f ca="1">RESULTADOS!BW26</f>
        <v>Pasa</v>
      </c>
      <c r="CT9" s="146" t="str">
        <f ca="1">RESULTADOS!BX26</f>
        <v>Pasa</v>
      </c>
      <c r="CU9" s="146" t="str">
        <f ca="1">RESULTADOS!BY26</f>
        <v>Pasa</v>
      </c>
      <c r="CV9" s="146" t="str">
        <f ca="1">RESULTADOS!BZ26</f>
        <v>N/A</v>
      </c>
      <c r="CW9" s="146" t="str">
        <f ca="1">RESULTADOS!CA26</f>
        <v>N/A</v>
      </c>
      <c r="CX9" s="146" t="str">
        <f ca="1">RESULTADOS!CB26</f>
        <v>N/A</v>
      </c>
      <c r="CY9" s="146" t="str">
        <f ca="1">RESULTADOS!CC26</f>
        <v>N/A</v>
      </c>
      <c r="CZ9" s="146" t="str">
        <f ca="1">RESULTADOS!CD26</f>
        <v>Falla</v>
      </c>
      <c r="DA9" s="146" t="str">
        <f ca="1">RESULTADOS!CE26</f>
        <v>Falla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Pasa</v>
      </c>
      <c r="DM9" s="146" t="str">
        <f ca="1">RESULTADOS!CQ26</f>
        <v>Pasa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284</v>
      </c>
      <c r="D10" s="147" t="str">
        <f>'01.Definición de ámbito'!C27</f>
        <v>Cominudad de Madrid</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Aviso Legal</v>
      </c>
      <c r="V10" s="148" t="str">
        <f t="shared" si="0"/>
        <v>Página web</v>
      </c>
      <c r="W10" s="148" t="str">
        <v>Legal</v>
      </c>
      <c r="X10" s="148" t="str">
        <f>RESULTADOS!D27</f>
        <v>https://www.comunidad.madrid/servicios/informacion-atencion-ciudadano/aviso-legal-privacidad</v>
      </c>
      <c r="Y10" s="148">
        <v>0</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Pasa</v>
      </c>
      <c r="BL10" s="146" t="str">
        <f ca="1">RESULTADOS!AP27</f>
        <v>Pasa</v>
      </c>
      <c r="BM10" s="146" t="str">
        <f ca="1">RESULTADOS!AQ27</f>
        <v>Falla</v>
      </c>
      <c r="BN10" s="146" t="str">
        <f ca="1">RESULTADOS!AR27</f>
        <v>N/A</v>
      </c>
      <c r="BO10" s="146" t="str">
        <f ca="1">RESULTADOS!AS27</f>
        <v>N/A</v>
      </c>
      <c r="BP10" s="146" t="str">
        <f ca="1">RESULTADOS!AT27</f>
        <v>N/A</v>
      </c>
      <c r="BQ10" s="146" t="str">
        <f ca="1">RESULTADOS!AU27</f>
        <v>Pasa</v>
      </c>
      <c r="BR10" s="146" t="str">
        <f ca="1">RESULTADOS!AV27</f>
        <v>Pasa</v>
      </c>
      <c r="BS10" s="146" t="str">
        <f ca="1">RESULTADOS!AW27</f>
        <v>Pasa</v>
      </c>
      <c r="BT10" s="146" t="str">
        <f ca="1">RESULTADOS!AX27</f>
        <v>N/A</v>
      </c>
      <c r="BU10" s="146" t="str">
        <f ca="1">RESULTADOS!AY27</f>
        <v>Falla</v>
      </c>
      <c r="BV10" s="146" t="str">
        <f ca="1">RESULTADOS!AZ27</f>
        <v>Pasa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Pasa</v>
      </c>
      <c r="CF10" s="146" t="str">
        <f ca="1">RESULTADOS!BJ27</f>
        <v>Pasa</v>
      </c>
      <c r="CG10" s="146" t="str">
        <f ca="1">RESULTADOS!BK27</f>
        <v>Pasa</v>
      </c>
      <c r="CH10" s="146" t="str">
        <f ca="1">RESULTADOS!BL27</f>
        <v>Pasa</v>
      </c>
      <c r="CI10" s="146" t="str">
        <f ca="1">RESULTADOS!BM27</f>
        <v>N/A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Pasa</v>
      </c>
      <c r="CQ10" s="146" t="str">
        <f ca="1">RESULTADOS!BU27</f>
        <v>N/A</v>
      </c>
      <c r="CR10" s="146" t="str">
        <f ca="1">RESULTADOS!BV27</f>
        <v>Pasa</v>
      </c>
      <c r="CS10" s="146" t="str">
        <f ca="1">RESULTADOS!BW27</f>
        <v>Pasa</v>
      </c>
      <c r="CT10" s="146" t="str">
        <f ca="1">RESULTADOS!BX27</f>
        <v>Pasa</v>
      </c>
      <c r="CU10" s="146" t="str">
        <f ca="1">RESULTADOS!BY27</f>
        <v>Pasa</v>
      </c>
      <c r="CV10" s="146" t="str">
        <f ca="1">RESULTADOS!BZ27</f>
        <v>N/A</v>
      </c>
      <c r="CW10" s="146" t="str">
        <f ca="1">RESULTADOS!CA27</f>
        <v>N/A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Pasa</v>
      </c>
      <c r="DM10" s="146" t="str">
        <f ca="1">RESULTADOS!CQ27</f>
        <v>Pasa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285</v>
      </c>
      <c r="D11" s="147" t="str">
        <f>'01.Definición de ámbito'!C29</f>
        <v xml:space="preserve">https://www.comunidad.madrid/	</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Mapa web</v>
      </c>
      <c r="V11" s="148" t="str">
        <f t="shared" si="0"/>
        <v>Página web</v>
      </c>
      <c r="W11" s="148" t="str">
        <v>Mapa web</v>
      </c>
      <c r="X11" s="148" t="str">
        <f>RESULTADOS!D28</f>
        <v>https://www.comunidad.madrid/sitemap</v>
      </c>
      <c r="Y11" s="148">
        <v>0</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Pasa</v>
      </c>
      <c r="BM11" s="146" t="str">
        <f ca="1">RESULTADOS!AQ28</f>
        <v>Falla</v>
      </c>
      <c r="BN11" s="146" t="str">
        <f ca="1">RESULTADOS!AR28</f>
        <v>N/A</v>
      </c>
      <c r="BO11" s="146" t="str">
        <f ca="1">RESULTADOS!AS28</f>
        <v>N/A</v>
      </c>
      <c r="BP11" s="146" t="str">
        <f ca="1">RESULTADOS!AT28</f>
        <v>N/A</v>
      </c>
      <c r="BQ11" s="146" t="str">
        <f ca="1">RESULTADOS!AU28</f>
        <v>N/A</v>
      </c>
      <c r="BR11" s="146" t="str">
        <f ca="1">RESULTADOS!AV28</f>
        <v>Pasa</v>
      </c>
      <c r="BS11" s="146" t="str">
        <f ca="1">RESULTADOS!AW28</f>
        <v>Pasa</v>
      </c>
      <c r="BT11" s="146" t="str">
        <f ca="1">RESULTADOS!AX28</f>
        <v>N/A</v>
      </c>
      <c r="BU11" s="146" t="str">
        <f ca="1">RESULTADOS!AY28</f>
        <v>Falla</v>
      </c>
      <c r="BV11" s="146" t="str">
        <f ca="1">RESULTADOS!AZ28</f>
        <v>Pasa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Pasa</v>
      </c>
      <c r="CF11" s="146" t="str">
        <f ca="1">RESULTADOS!BJ28</f>
        <v>Pasa</v>
      </c>
      <c r="CG11" s="146" t="str">
        <f ca="1">RESULTADOS!BK28</f>
        <v>Pasa</v>
      </c>
      <c r="CH11" s="146" t="str">
        <f ca="1">RESULTADOS!BL28</f>
        <v>Pasa</v>
      </c>
      <c r="CI11" s="146" t="str">
        <f ca="1">RESULTADOS!BM28</f>
        <v>N/A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Pasa</v>
      </c>
      <c r="CQ11" s="146" t="str">
        <f ca="1">RESULTADOS!BU28</f>
        <v>N/A</v>
      </c>
      <c r="CR11" s="146" t="str">
        <f ca="1">RESULTADOS!BV28</f>
        <v>Pasa</v>
      </c>
      <c r="CS11" s="146" t="str">
        <f ca="1">RESULTADOS!BW28</f>
        <v>Pasa</v>
      </c>
      <c r="CT11" s="146" t="str">
        <f ca="1">RESULTADOS!BX28</f>
        <v>Pasa</v>
      </c>
      <c r="CU11" s="146" t="str">
        <f ca="1">RESULTADOS!BY28</f>
        <v>Pasa</v>
      </c>
      <c r="CV11" s="146" t="str">
        <f ca="1">RESULTADOS!BZ28</f>
        <v>N/A</v>
      </c>
      <c r="CW11" s="146" t="str">
        <f ca="1">RESULTADOS!CA28</f>
        <v>N/A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Pasa</v>
      </c>
      <c r="DM11" s="146" t="str">
        <f ca="1">RESULTADOS!CQ28</f>
        <v>Pasa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139</v>
      </c>
      <c r="D12" s="147" t="str">
        <f>'01.Definición de ámbito'!C31</f>
        <v xml:space="preserve">Se analizarán las páginas con dominio 	
https://www.comunidad.madrid/	</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Accesibilidad</v>
      </c>
      <c r="V12" s="148" t="str">
        <f t="shared" si="0"/>
        <v>Página web</v>
      </c>
      <c r="W12" s="148" t="str">
        <v>Declaración accesibilidad</v>
      </c>
      <c r="X12" s="148" t="str">
        <f>RESULTADOS!D29</f>
        <v>https://www.comunidad.madrid/servicios/informacion-atencion-ciudadano/accesibilidad-web</v>
      </c>
      <c r="Y12" s="148">
        <v>0</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Pasa</v>
      </c>
      <c r="BH12" s="146" t="str">
        <f ca="1">RESULTADOS!AL29</f>
        <v>N/A</v>
      </c>
      <c r="BI12" s="146" t="str">
        <f ca="1">RESULTADOS!AM29</f>
        <v>N/A</v>
      </c>
      <c r="BJ12" s="146" t="str">
        <f ca="1">RESULTADOS!AN29</f>
        <v>N/A</v>
      </c>
      <c r="BK12" s="146" t="str">
        <f ca="1">RESULTADOS!AO29</f>
        <v>Pasa</v>
      </c>
      <c r="BL12" s="146" t="str">
        <f ca="1">RESULTADOS!AP29</f>
        <v>Pasa</v>
      </c>
      <c r="BM12" s="146" t="str">
        <f ca="1">RESULTADOS!AQ29</f>
        <v>Falla</v>
      </c>
      <c r="BN12" s="146" t="str">
        <f ca="1">RESULTADOS!AR29</f>
        <v>N/A</v>
      </c>
      <c r="BO12" s="146" t="str">
        <f ca="1">RESULTADOS!AS29</f>
        <v>N/A</v>
      </c>
      <c r="BP12" s="146" t="str">
        <f ca="1">RESULTADOS!AT29</f>
        <v>N/A</v>
      </c>
      <c r="BQ12" s="146" t="str">
        <f ca="1">RESULTADOS!AU29</f>
        <v>Pasa</v>
      </c>
      <c r="BR12" s="146" t="str">
        <f ca="1">RESULTADOS!AV29</f>
        <v>Pasa</v>
      </c>
      <c r="BS12" s="146" t="str">
        <f ca="1">RESULTADOS!AW29</f>
        <v>Pasa</v>
      </c>
      <c r="BT12" s="146" t="str">
        <f ca="1">RESULTADOS!AX29</f>
        <v>N/A</v>
      </c>
      <c r="BU12" s="146" t="str">
        <f ca="1">RESULTADOS!AY29</f>
        <v>Falla</v>
      </c>
      <c r="BV12" s="146" t="str">
        <f ca="1">RESULTADOS!AZ29</f>
        <v>Pasa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Pasa</v>
      </c>
      <c r="CF12" s="146" t="str">
        <f ca="1">RESULTADOS!BJ29</f>
        <v>Pasa</v>
      </c>
      <c r="CG12" s="146" t="str">
        <f ca="1">RESULTADOS!BK29</f>
        <v>Pasa</v>
      </c>
      <c r="CH12" s="146" t="str">
        <f ca="1">RESULTADOS!BL29</f>
        <v>Pasa</v>
      </c>
      <c r="CI12" s="146" t="str">
        <f ca="1">RESULTADOS!BM29</f>
        <v>N/A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Pasa</v>
      </c>
      <c r="CQ12" s="146" t="str">
        <f ca="1">RESULTADOS!BU29</f>
        <v>N/A</v>
      </c>
      <c r="CR12" s="146" t="str">
        <f ca="1">RESULTADOS!BV29</f>
        <v>Pasa</v>
      </c>
      <c r="CS12" s="146" t="str">
        <f ca="1">RESULTADOS!BW29</f>
        <v>Pasa</v>
      </c>
      <c r="CT12" s="146" t="str">
        <f ca="1">RESULTADOS!BX29</f>
        <v>Pasa</v>
      </c>
      <c r="CU12" s="146" t="str">
        <f ca="1">RESULTADOS!BY29</f>
        <v>Pasa</v>
      </c>
      <c r="CV12" s="146" t="str">
        <f ca="1">RESULTADOS!BZ29</f>
        <v>N/A</v>
      </c>
      <c r="CW12" s="146" t="str">
        <f ca="1">RESULTADOS!CA29</f>
        <v>N/A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Pasa</v>
      </c>
      <c r="DM12" s="146" t="str">
        <f ca="1">RESULTADOS!CQ29</f>
        <v>Pasa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286</v>
      </c>
      <c r="D13" s="147" t="str">
        <f>'01.Definición de ámbito'!C33</f>
        <v>Comunidad de Madrid</v>
      </c>
      <c r="E13" s="144" t="s">
        <v>298</v>
      </c>
      <c r="F13" s="147" t="str">
        <f>'02.Tecnologías'!I10</f>
        <v>No</v>
      </c>
      <c r="G13" s="147">
        <f>'02.Tecnologías'!K23</f>
        <v>0</v>
      </c>
      <c r="H13" s="147">
        <f>'02.Tecnologías'!L23</f>
        <v>0</v>
      </c>
      <c r="I13" s="206"/>
      <c r="J13" s="206"/>
      <c r="K13" s="40" t="s">
        <v>150</v>
      </c>
      <c r="L13" s="208" t="str">
        <f ca="1">RESULTADOS!E8</f>
        <v>36 (39,13 %)</v>
      </c>
      <c r="M13" s="208" t="str">
        <f ca="1">RESULTADOS!F8</f>
        <v>10 (10,87 %)</v>
      </c>
      <c r="N13" s="208" t="str">
        <f ca="1">RESULTADOS!G8</f>
        <v>46 (50 %)</v>
      </c>
      <c r="O13" s="148">
        <f ca="1">RESULTADOS!H8</f>
        <v>0</v>
      </c>
      <c r="P13" s="148">
        <f ca="1">RESULTADOS!I8</f>
        <v>0</v>
      </c>
      <c r="T13" s="148" t="str">
        <f>RESULTADOS!B30</f>
        <v/>
      </c>
      <c r="U13" s="148" t="str">
        <f>RESULTADOS!C30</f>
        <v/>
      </c>
      <c r="V13" s="148" t="str">
        <f t="shared" si="0"/>
        <v/>
      </c>
      <c r="W13" s="148" t="str">
        <v/>
      </c>
      <c r="X13" s="148" t="str">
        <f>RESULTADOS!D30</f>
        <v/>
      </c>
      <c r="Y13" s="148" t="str">
        <v/>
      </c>
      <c r="Z13" s="237" t="str">
        <v/>
      </c>
      <c r="AA13" s="146" t="str">
        <f ca="1">RESULTADOS!E30</f>
        <v/>
      </c>
      <c r="AB13" s="146" t="str">
        <f ca="1">RESULTADOS!F30</f>
        <v/>
      </c>
      <c r="AC13" s="146" t="str">
        <f ca="1">RESULTADOS!G30</f>
        <v/>
      </c>
      <c r="AD13" s="146" t="str">
        <f ca="1">RESULTADOS!H30</f>
        <v/>
      </c>
      <c r="AE13" s="146" t="str">
        <f ca="1">RESULTADOS!I30</f>
        <v/>
      </c>
      <c r="AF13" s="146" t="str">
        <f ca="1">RESULTADOS!J30</f>
        <v/>
      </c>
      <c r="AG13" s="146" t="str">
        <f ca="1">RESULTADOS!K30</f>
        <v/>
      </c>
      <c r="AH13" s="146" t="str">
        <f ca="1">RESULTADOS!L30</f>
        <v/>
      </c>
      <c r="AI13" s="146" t="str">
        <f ca="1">RESULTADOS!M30</f>
        <v/>
      </c>
      <c r="AJ13" s="146" t="str">
        <f ca="1">RESULTADOS!N30</f>
        <v/>
      </c>
      <c r="AK13" s="146" t="str">
        <f ca="1">RESULTADOS!O30</f>
        <v/>
      </c>
      <c r="AL13" s="146" t="str">
        <f ca="1">RESULTADOS!P30</f>
        <v/>
      </c>
      <c r="AM13" s="146" t="str">
        <f ca="1">RESULTADOS!Q30</f>
        <v/>
      </c>
      <c r="AN13" s="146" t="str">
        <f ca="1">RESULTADOS!R30</f>
        <v/>
      </c>
      <c r="AO13" s="146" t="str">
        <f ca="1">RESULTADOS!S30</f>
        <v/>
      </c>
      <c r="AP13" s="146" t="str">
        <f ca="1">RESULTADOS!T30</f>
        <v/>
      </c>
      <c r="AQ13" s="146" t="str">
        <f ca="1">RESULTADOS!U30</f>
        <v/>
      </c>
      <c r="AR13" s="146" t="str">
        <f ca="1">RESULTADOS!V30</f>
        <v/>
      </c>
      <c r="AS13" s="146" t="str">
        <f ca="1">RESULTADOS!W30</f>
        <v/>
      </c>
      <c r="AT13" s="146" t="str">
        <f ca="1">RESULTADOS!X30</f>
        <v/>
      </c>
      <c r="AU13" s="146" t="str">
        <f ca="1">RESULTADOS!Y30</f>
        <v/>
      </c>
      <c r="AV13" s="146" t="str">
        <f ca="1">RESULTADOS!Z30</f>
        <v/>
      </c>
      <c r="AW13" s="146" t="str">
        <f ca="1">RESULTADOS!AA30</f>
        <v/>
      </c>
      <c r="AX13" s="146" t="str">
        <f ca="1">RESULTADOS!AB30</f>
        <v/>
      </c>
      <c r="AY13" s="146" t="str">
        <f ca="1">RESULTADOS!AC30</f>
        <v/>
      </c>
      <c r="AZ13" s="146" t="str">
        <f ca="1">RESULTADOS!AD30</f>
        <v/>
      </c>
      <c r="BA13" s="146" t="str">
        <f ca="1">RESULTADOS!AE30</f>
        <v/>
      </c>
      <c r="BB13" s="146" t="str">
        <f ca="1">RESULTADOS!AF30</f>
        <v/>
      </c>
      <c r="BC13" s="146" t="str">
        <f ca="1">RESULTADOS!AG30</f>
        <v/>
      </c>
      <c r="BD13" s="146" t="str">
        <f ca="1">RESULTADOS!AH30</f>
        <v/>
      </c>
      <c r="BE13" s="146" t="str">
        <f ca="1">RESULTADOS!AI30</f>
        <v/>
      </c>
      <c r="BF13" s="146" t="str">
        <f ca="1">RESULTADOS!AJ30</f>
        <v/>
      </c>
      <c r="BG13" s="146" t="str">
        <f ca="1">RESULTADOS!AK30</f>
        <v/>
      </c>
      <c r="BH13" s="146" t="str">
        <f ca="1">RESULTADOS!AL30</f>
        <v/>
      </c>
      <c r="BI13" s="146" t="str">
        <f ca="1">RESULTADOS!AM30</f>
        <v/>
      </c>
      <c r="BJ13" s="146" t="str">
        <f ca="1">RESULTADOS!AN30</f>
        <v/>
      </c>
      <c r="BK13" s="146" t="str">
        <f ca="1">RESULTADOS!AO30</f>
        <v/>
      </c>
      <c r="BL13" s="146" t="str">
        <f ca="1">RESULTADOS!AP30</f>
        <v/>
      </c>
      <c r="BM13" s="146" t="str">
        <f ca="1">RESULTADOS!AQ30</f>
        <v/>
      </c>
      <c r="BN13" s="146" t="str">
        <f ca="1">RESULTADOS!AR30</f>
        <v/>
      </c>
      <c r="BO13" s="146" t="str">
        <f ca="1">RESULTADOS!AS30</f>
        <v/>
      </c>
      <c r="BP13" s="146" t="str">
        <f ca="1">RESULTADOS!AT30</f>
        <v/>
      </c>
      <c r="BQ13" s="146" t="str">
        <f ca="1">RESULTADOS!AU30</f>
        <v/>
      </c>
      <c r="BR13" s="146" t="str">
        <f ca="1">RESULTADOS!AV30</f>
        <v/>
      </c>
      <c r="BS13" s="146" t="str">
        <f ca="1">RESULTADOS!AW30</f>
        <v/>
      </c>
      <c r="BT13" s="146" t="str">
        <f ca="1">RESULTADOS!AX30</f>
        <v/>
      </c>
      <c r="BU13" s="146" t="str">
        <f ca="1">RESULTADOS!AY30</f>
        <v/>
      </c>
      <c r="BV13" s="146" t="str">
        <f ca="1">RESULTADOS!AZ30</f>
        <v/>
      </c>
      <c r="BW13" s="146" t="str">
        <f ca="1">RESULTADOS!BA30</f>
        <v/>
      </c>
      <c r="BX13" s="146" t="str">
        <f ca="1">RESULTADOS!BB30</f>
        <v/>
      </c>
      <c r="BY13" s="146" t="str">
        <f ca="1">RESULTADOS!BC30</f>
        <v/>
      </c>
      <c r="BZ13" s="146" t="str">
        <f ca="1">RESULTADOS!BD30</f>
        <v/>
      </c>
      <c r="CA13" s="146" t="str">
        <f ca="1">RESULTADOS!BE30</f>
        <v/>
      </c>
      <c r="CB13" s="146" t="str">
        <f ca="1">RESULTADOS!BF30</f>
        <v/>
      </c>
      <c r="CC13" s="146" t="str">
        <f ca="1">RESULTADOS!BG30</f>
        <v/>
      </c>
      <c r="CD13" s="146" t="str">
        <f ca="1">RESULTADOS!BH30</f>
        <v/>
      </c>
      <c r="CE13" s="146" t="str">
        <f ca="1">RESULTADOS!BI30</f>
        <v/>
      </c>
      <c r="CF13" s="146" t="str">
        <f ca="1">RESULTADOS!BJ30</f>
        <v/>
      </c>
      <c r="CG13" s="146" t="str">
        <f ca="1">RESULTADOS!BK30</f>
        <v/>
      </c>
      <c r="CH13" s="146" t="str">
        <f ca="1">RESULTADOS!BL30</f>
        <v/>
      </c>
      <c r="CI13" s="146" t="str">
        <f ca="1">RESULTADOS!BM30</f>
        <v/>
      </c>
      <c r="CJ13" s="146" t="str">
        <f ca="1">RESULTADOS!BN30</f>
        <v/>
      </c>
      <c r="CK13" s="146" t="str">
        <f ca="1">RESULTADOS!BO30</f>
        <v/>
      </c>
      <c r="CL13" s="146" t="str">
        <f ca="1">RESULTADOS!BP30</f>
        <v/>
      </c>
      <c r="CM13" s="146" t="str">
        <f ca="1">RESULTADOS!BQ30</f>
        <v/>
      </c>
      <c r="CN13" s="146" t="str">
        <f ca="1">RESULTADOS!BR30</f>
        <v/>
      </c>
      <c r="CO13" s="146" t="str">
        <f ca="1">RESULTADOS!BS30</f>
        <v/>
      </c>
      <c r="CP13" s="146" t="str">
        <f ca="1">RESULTADOS!BT30</f>
        <v/>
      </c>
      <c r="CQ13" s="146" t="str">
        <f ca="1">RESULTADOS!BU30</f>
        <v/>
      </c>
      <c r="CR13" s="146" t="str">
        <f ca="1">RESULTADOS!BV30</f>
        <v/>
      </c>
      <c r="CS13" s="146" t="str">
        <f ca="1">RESULTADOS!BW30</f>
        <v/>
      </c>
      <c r="CT13" s="146" t="str">
        <f ca="1">RESULTADOS!BX30</f>
        <v/>
      </c>
      <c r="CU13" s="146" t="str">
        <f ca="1">RESULTADOS!BY30</f>
        <v/>
      </c>
      <c r="CV13" s="146" t="str">
        <f ca="1">RESULTADOS!BZ30</f>
        <v/>
      </c>
      <c r="CW13" s="146" t="str">
        <f ca="1">RESULTADOS!CA30</f>
        <v/>
      </c>
      <c r="CX13" s="146" t="str">
        <f ca="1">RESULTADOS!CB30</f>
        <v/>
      </c>
      <c r="CY13" s="146" t="str">
        <f ca="1">RESULTADOS!CC30</f>
        <v/>
      </c>
      <c r="CZ13" s="146" t="str">
        <f ca="1">RESULTADOS!CD30</f>
        <v/>
      </c>
      <c r="DA13" s="146" t="str">
        <f ca="1">RESULTADOS!CE30</f>
        <v/>
      </c>
      <c r="DB13" s="146" t="str">
        <f ca="1">RESULTADOS!CF30</f>
        <v/>
      </c>
      <c r="DC13" s="146" t="str">
        <f ca="1">RESULTADOS!CG30</f>
        <v/>
      </c>
      <c r="DD13" s="146" t="str">
        <f ca="1">RESULTADOS!CH30</f>
        <v/>
      </c>
      <c r="DE13" s="146" t="str">
        <f ca="1">RESULTADOS!CI30</f>
        <v/>
      </c>
      <c r="DF13" s="146" t="str">
        <f ca="1">RESULTADOS!CJ30</f>
        <v/>
      </c>
      <c r="DG13" s="146" t="str">
        <f ca="1">RESULTADOS!CK30</f>
        <v/>
      </c>
      <c r="DH13" s="146" t="str">
        <f ca="1">RESULTADOS!CL30</f>
        <v/>
      </c>
      <c r="DI13" s="146" t="str">
        <f ca="1">RESULTADOS!CM30</f>
        <v/>
      </c>
      <c r="DJ13" s="146" t="str">
        <f ca="1">RESULTADOS!CN30</f>
        <v/>
      </c>
      <c r="DK13" s="146" t="str">
        <f ca="1">RESULTADOS!CO30</f>
        <v/>
      </c>
      <c r="DL13" s="146" t="str">
        <f ca="1">RESULTADOS!CP30</f>
        <v/>
      </c>
      <c r="DM13" s="146" t="str">
        <f ca="1">RESULTADOS!CQ30</f>
        <v/>
      </c>
      <c r="DN13" s="146" t="str">
        <f ca="1">RESULTADOS!CR30</f>
        <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140</v>
      </c>
      <c r="D14" s="147">
        <f>'01.Definición de ámbito'!C35</f>
        <v>45280</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t="str">
        <f>RESULTADOS!B31</f>
        <v/>
      </c>
      <c r="U14" s="148" t="str">
        <f>RESULTADOS!C31</f>
        <v/>
      </c>
      <c r="V14" s="148" t="str">
        <f t="shared" si="0"/>
        <v/>
      </c>
      <c r="W14" s="148" t="str">
        <v/>
      </c>
      <c r="X14" s="148" t="str">
        <f>RESULTADOS!D31</f>
        <v/>
      </c>
      <c r="Y14" s="148" t="str">
        <v/>
      </c>
      <c r="Z14" s="237" t="str">
        <v/>
      </c>
      <c r="AA14" s="146" t="str">
        <f ca="1">RESULTADOS!E31</f>
        <v/>
      </c>
      <c r="AB14" s="146" t="str">
        <f ca="1">RESULTADOS!F31</f>
        <v/>
      </c>
      <c r="AC14" s="146" t="str">
        <f ca="1">RESULTADOS!G31</f>
        <v/>
      </c>
      <c r="AD14" s="146" t="str">
        <f ca="1">RESULTADOS!H31</f>
        <v/>
      </c>
      <c r="AE14" s="146" t="str">
        <f ca="1">RESULTADOS!I31</f>
        <v/>
      </c>
      <c r="AF14" s="146" t="str">
        <f ca="1">RESULTADOS!J31</f>
        <v/>
      </c>
      <c r="AG14" s="146" t="str">
        <f ca="1">RESULTADOS!K31</f>
        <v/>
      </c>
      <c r="AH14" s="146" t="str">
        <f ca="1">RESULTADOS!L31</f>
        <v/>
      </c>
      <c r="AI14" s="146" t="str">
        <f ca="1">RESULTADOS!M31</f>
        <v/>
      </c>
      <c r="AJ14" s="146" t="str">
        <f ca="1">RESULTADOS!N31</f>
        <v/>
      </c>
      <c r="AK14" s="146" t="str">
        <f ca="1">RESULTADOS!O31</f>
        <v/>
      </c>
      <c r="AL14" s="146" t="str">
        <f ca="1">RESULTADOS!P31</f>
        <v/>
      </c>
      <c r="AM14" s="146" t="str">
        <f ca="1">RESULTADOS!Q31</f>
        <v/>
      </c>
      <c r="AN14" s="146" t="str">
        <f ca="1">RESULTADOS!R31</f>
        <v/>
      </c>
      <c r="AO14" s="146" t="str">
        <f ca="1">RESULTADOS!S31</f>
        <v/>
      </c>
      <c r="AP14" s="146" t="str">
        <f ca="1">RESULTADOS!T31</f>
        <v/>
      </c>
      <c r="AQ14" s="146" t="str">
        <f ca="1">RESULTADOS!U31</f>
        <v/>
      </c>
      <c r="AR14" s="146" t="str">
        <f ca="1">RESULTADOS!V31</f>
        <v/>
      </c>
      <c r="AS14" s="146" t="str">
        <f ca="1">RESULTADOS!W31</f>
        <v/>
      </c>
      <c r="AT14" s="146" t="str">
        <f ca="1">RESULTADOS!X31</f>
        <v/>
      </c>
      <c r="AU14" s="146" t="str">
        <f ca="1">RESULTADOS!Y31</f>
        <v/>
      </c>
      <c r="AV14" s="146" t="str">
        <f ca="1">RESULTADOS!Z31</f>
        <v/>
      </c>
      <c r="AW14" s="146" t="str">
        <f ca="1">RESULTADOS!AA31</f>
        <v/>
      </c>
      <c r="AX14" s="146" t="str">
        <f ca="1">RESULTADOS!AB31</f>
        <v/>
      </c>
      <c r="AY14" s="146" t="str">
        <f ca="1">RESULTADOS!AC31</f>
        <v/>
      </c>
      <c r="AZ14" s="146" t="str">
        <f ca="1">RESULTADOS!AD31</f>
        <v/>
      </c>
      <c r="BA14" s="146" t="str">
        <f ca="1">RESULTADOS!AE31</f>
        <v/>
      </c>
      <c r="BB14" s="146" t="str">
        <f ca="1">RESULTADOS!AF31</f>
        <v/>
      </c>
      <c r="BC14" s="146" t="str">
        <f ca="1">RESULTADOS!AG31</f>
        <v/>
      </c>
      <c r="BD14" s="146" t="str">
        <f ca="1">RESULTADOS!AH31</f>
        <v/>
      </c>
      <c r="BE14" s="146" t="str">
        <f ca="1">RESULTADOS!AI31</f>
        <v/>
      </c>
      <c r="BF14" s="146" t="str">
        <f ca="1">RESULTADOS!AJ31</f>
        <v/>
      </c>
      <c r="BG14" s="146" t="str">
        <f ca="1">RESULTADOS!AK31</f>
        <v/>
      </c>
      <c r="BH14" s="146" t="str">
        <f ca="1">RESULTADOS!AL31</f>
        <v/>
      </c>
      <c r="BI14" s="146" t="str">
        <f ca="1">RESULTADOS!AM31</f>
        <v/>
      </c>
      <c r="BJ14" s="146" t="str">
        <f ca="1">RESULTADOS!AN31</f>
        <v/>
      </c>
      <c r="BK14" s="146" t="str">
        <f ca="1">RESULTADOS!AO31</f>
        <v/>
      </c>
      <c r="BL14" s="146" t="str">
        <f ca="1">RESULTADOS!AP31</f>
        <v/>
      </c>
      <c r="BM14" s="146" t="str">
        <f ca="1">RESULTADOS!AQ31</f>
        <v/>
      </c>
      <c r="BN14" s="146" t="str">
        <f ca="1">RESULTADOS!AR31</f>
        <v/>
      </c>
      <c r="BO14" s="146" t="str">
        <f ca="1">RESULTADOS!AS31</f>
        <v/>
      </c>
      <c r="BP14" s="146" t="str">
        <f ca="1">RESULTADOS!AT31</f>
        <v/>
      </c>
      <c r="BQ14" s="146" t="str">
        <f ca="1">RESULTADOS!AU31</f>
        <v/>
      </c>
      <c r="BR14" s="146" t="str">
        <f ca="1">RESULTADOS!AV31</f>
        <v/>
      </c>
      <c r="BS14" s="146" t="str">
        <f ca="1">RESULTADOS!AW31</f>
        <v/>
      </c>
      <c r="BT14" s="146" t="str">
        <f ca="1">RESULTADOS!AX31</f>
        <v/>
      </c>
      <c r="BU14" s="146" t="str">
        <f ca="1">RESULTADOS!AY31</f>
        <v/>
      </c>
      <c r="BV14" s="146" t="str">
        <f ca="1">RESULTADOS!AZ31</f>
        <v/>
      </c>
      <c r="BW14" s="146" t="str">
        <f ca="1">RESULTADOS!BA31</f>
        <v/>
      </c>
      <c r="BX14" s="146" t="str">
        <f ca="1">RESULTADOS!BB31</f>
        <v/>
      </c>
      <c r="BY14" s="146" t="str">
        <f ca="1">RESULTADOS!BC31</f>
        <v/>
      </c>
      <c r="BZ14" s="146" t="str">
        <f ca="1">RESULTADOS!BD31</f>
        <v/>
      </c>
      <c r="CA14" s="146" t="str">
        <f ca="1">RESULTADOS!BE31</f>
        <v/>
      </c>
      <c r="CB14" s="146" t="str">
        <f ca="1">RESULTADOS!BF31</f>
        <v/>
      </c>
      <c r="CC14" s="146" t="str">
        <f ca="1">RESULTADOS!BG31</f>
        <v/>
      </c>
      <c r="CD14" s="146" t="str">
        <f ca="1">RESULTADOS!BH31</f>
        <v/>
      </c>
      <c r="CE14" s="146" t="str">
        <f ca="1">RESULTADOS!BI31</f>
        <v/>
      </c>
      <c r="CF14" s="146" t="str">
        <f ca="1">RESULTADOS!BJ31</f>
        <v/>
      </c>
      <c r="CG14" s="146" t="str">
        <f ca="1">RESULTADOS!BK31</f>
        <v/>
      </c>
      <c r="CH14" s="146" t="str">
        <f ca="1">RESULTADOS!BL31</f>
        <v/>
      </c>
      <c r="CI14" s="146" t="str">
        <f ca="1">RESULTADOS!BM31</f>
        <v/>
      </c>
      <c r="CJ14" s="146" t="str">
        <f ca="1">RESULTADOS!BN31</f>
        <v/>
      </c>
      <c r="CK14" s="146" t="str">
        <f ca="1">RESULTADOS!BO31</f>
        <v/>
      </c>
      <c r="CL14" s="146" t="str">
        <f ca="1">RESULTADOS!BP31</f>
        <v/>
      </c>
      <c r="CM14" s="146" t="str">
        <f ca="1">RESULTADOS!BQ31</f>
        <v/>
      </c>
      <c r="CN14" s="146" t="str">
        <f ca="1">RESULTADOS!BR31</f>
        <v/>
      </c>
      <c r="CO14" s="146" t="str">
        <f ca="1">RESULTADOS!BS31</f>
        <v/>
      </c>
      <c r="CP14" s="146" t="str">
        <f ca="1">RESULTADOS!BT31</f>
        <v/>
      </c>
      <c r="CQ14" s="146" t="str">
        <f ca="1">RESULTADOS!BU31</f>
        <v/>
      </c>
      <c r="CR14" s="146" t="str">
        <f ca="1">RESULTADOS!BV31</f>
        <v/>
      </c>
      <c r="CS14" s="146" t="str">
        <f ca="1">RESULTADOS!BW31</f>
        <v/>
      </c>
      <c r="CT14" s="146" t="str">
        <f ca="1">RESULTADOS!BX31</f>
        <v/>
      </c>
      <c r="CU14" s="146" t="str">
        <f ca="1">RESULTADOS!BY31</f>
        <v/>
      </c>
      <c r="CV14" s="146" t="str">
        <f ca="1">RESULTADOS!BZ31</f>
        <v/>
      </c>
      <c r="CW14" s="146" t="str">
        <f ca="1">RESULTADOS!CA31</f>
        <v/>
      </c>
      <c r="CX14" s="146" t="str">
        <f ca="1">RESULTADOS!CB31</f>
        <v/>
      </c>
      <c r="CY14" s="146" t="str">
        <f ca="1">RESULTADOS!CC31</f>
        <v/>
      </c>
      <c r="CZ14" s="146" t="str">
        <f ca="1">RESULTADOS!CD31</f>
        <v/>
      </c>
      <c r="DA14" s="146" t="str">
        <f ca="1">RESULTADOS!CE31</f>
        <v/>
      </c>
      <c r="DB14" s="146" t="str">
        <f ca="1">RESULTADOS!CF31</f>
        <v/>
      </c>
      <c r="DC14" s="146" t="str">
        <f ca="1">RESULTADOS!CG31</f>
        <v/>
      </c>
      <c r="DD14" s="146" t="str">
        <f ca="1">RESULTADOS!CH31</f>
        <v/>
      </c>
      <c r="DE14" s="146" t="str">
        <f ca="1">RESULTADOS!CI31</f>
        <v/>
      </c>
      <c r="DF14" s="146" t="str">
        <f ca="1">RESULTADOS!CJ31</f>
        <v/>
      </c>
      <c r="DG14" s="146" t="str">
        <f ca="1">RESULTADOS!CK31</f>
        <v/>
      </c>
      <c r="DH14" s="146" t="str">
        <f ca="1">RESULTADOS!CL31</f>
        <v/>
      </c>
      <c r="DI14" s="146" t="str">
        <f ca="1">RESULTADOS!CM31</f>
        <v/>
      </c>
      <c r="DJ14" s="146" t="str">
        <f ca="1">RESULTADOS!CN31</f>
        <v/>
      </c>
      <c r="DK14" s="146" t="str">
        <f ca="1">RESULTADOS!CO31</f>
        <v/>
      </c>
      <c r="DL14" s="146" t="str">
        <f ca="1">RESULTADOS!CP31</f>
        <v/>
      </c>
      <c r="DM14" s="146" t="str">
        <f ca="1">RESULTADOS!CQ31</f>
        <v/>
      </c>
      <c r="DN14" s="146" t="str">
        <f ca="1">RESULTADOS!CR31</f>
        <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142</v>
      </c>
      <c r="D15" s="147" t="str">
        <f>'01.Definición de ámbito'!C39</f>
        <v>UNE-EN 301 549:2022 - excluyendo el contenido excluido por el RD 1112/2018</v>
      </c>
      <c r="E15" s="144" t="s">
        <v>304</v>
      </c>
      <c r="F15" s="147" t="str">
        <f>'02.Tecnologías'!I12</f>
        <v>No</v>
      </c>
      <c r="G15" s="205"/>
      <c r="H15" s="205"/>
      <c r="I15" s="205"/>
      <c r="J15" s="205"/>
      <c r="T15" s="148" t="str">
        <f>RESULTADOS!B32</f>
        <v/>
      </c>
      <c r="U15" s="148" t="str">
        <f>RESULTADOS!C32</f>
        <v/>
      </c>
      <c r="V15" s="148" t="str">
        <f t="shared" si="0"/>
        <v/>
      </c>
      <c r="W15" s="148" t="str">
        <v/>
      </c>
      <c r="X15" s="148" t="str">
        <f>RESULTADOS!D32</f>
        <v/>
      </c>
      <c r="Y15" s="148" t="str">
        <v/>
      </c>
      <c r="Z15" s="237" t="str">
        <v/>
      </c>
      <c r="AA15" s="146" t="str">
        <f ca="1">RESULTADOS!E32</f>
        <v/>
      </c>
      <c r="AB15" s="146" t="str">
        <f ca="1">RESULTADOS!F32</f>
        <v/>
      </c>
      <c r="AC15" s="146" t="str">
        <f ca="1">RESULTADOS!G32</f>
        <v/>
      </c>
      <c r="AD15" s="146" t="str">
        <f ca="1">RESULTADOS!H32</f>
        <v/>
      </c>
      <c r="AE15" s="146" t="str">
        <f ca="1">RESULTADOS!I32</f>
        <v/>
      </c>
      <c r="AF15" s="146" t="str">
        <f ca="1">RESULTADOS!J32</f>
        <v/>
      </c>
      <c r="AG15" s="146" t="str">
        <f ca="1">RESULTADOS!K32</f>
        <v/>
      </c>
      <c r="AH15" s="146" t="str">
        <f ca="1">RESULTADOS!L32</f>
        <v/>
      </c>
      <c r="AI15" s="146" t="str">
        <f ca="1">RESULTADOS!M32</f>
        <v/>
      </c>
      <c r="AJ15" s="146" t="str">
        <f ca="1">RESULTADOS!N32</f>
        <v/>
      </c>
      <c r="AK15" s="146" t="str">
        <f ca="1">RESULTADOS!O32</f>
        <v/>
      </c>
      <c r="AL15" s="146" t="str">
        <f ca="1">RESULTADOS!P32</f>
        <v/>
      </c>
      <c r="AM15" s="146" t="str">
        <f ca="1">RESULTADOS!Q32</f>
        <v/>
      </c>
      <c r="AN15" s="146" t="str">
        <f ca="1">RESULTADOS!R32</f>
        <v/>
      </c>
      <c r="AO15" s="146" t="str">
        <f ca="1">RESULTADOS!S32</f>
        <v/>
      </c>
      <c r="AP15" s="146" t="str">
        <f ca="1">RESULTADOS!T32</f>
        <v/>
      </c>
      <c r="AQ15" s="146" t="str">
        <f ca="1">RESULTADOS!U32</f>
        <v/>
      </c>
      <c r="AR15" s="146" t="str">
        <f ca="1">RESULTADOS!V32</f>
        <v/>
      </c>
      <c r="AS15" s="146" t="str">
        <f ca="1">RESULTADOS!W32</f>
        <v/>
      </c>
      <c r="AT15" s="146" t="str">
        <f ca="1">RESULTADOS!X32</f>
        <v/>
      </c>
      <c r="AU15" s="146" t="str">
        <f ca="1">RESULTADOS!Y32</f>
        <v/>
      </c>
      <c r="AV15" s="146" t="str">
        <f ca="1">RESULTADOS!Z32</f>
        <v/>
      </c>
      <c r="AW15" s="146" t="str">
        <f ca="1">RESULTADOS!AA32</f>
        <v/>
      </c>
      <c r="AX15" s="146" t="str">
        <f ca="1">RESULTADOS!AB32</f>
        <v/>
      </c>
      <c r="AY15" s="146" t="str">
        <f ca="1">RESULTADOS!AC32</f>
        <v/>
      </c>
      <c r="AZ15" s="146" t="str">
        <f ca="1">RESULTADOS!AD32</f>
        <v/>
      </c>
      <c r="BA15" s="146" t="str">
        <f ca="1">RESULTADOS!AE32</f>
        <v/>
      </c>
      <c r="BB15" s="146" t="str">
        <f ca="1">RESULTADOS!AF32</f>
        <v/>
      </c>
      <c r="BC15" s="146" t="str">
        <f ca="1">RESULTADOS!AG32</f>
        <v/>
      </c>
      <c r="BD15" s="146" t="str">
        <f ca="1">RESULTADOS!AH32</f>
        <v/>
      </c>
      <c r="BE15" s="146" t="str">
        <f ca="1">RESULTADOS!AI32</f>
        <v/>
      </c>
      <c r="BF15" s="146" t="str">
        <f ca="1">RESULTADOS!AJ32</f>
        <v/>
      </c>
      <c r="BG15" s="146" t="str">
        <f ca="1">RESULTADOS!AK32</f>
        <v/>
      </c>
      <c r="BH15" s="146" t="str">
        <f ca="1">RESULTADOS!AL32</f>
        <v/>
      </c>
      <c r="BI15" s="146" t="str">
        <f ca="1">RESULTADOS!AM32</f>
        <v/>
      </c>
      <c r="BJ15" s="146" t="str">
        <f ca="1">RESULTADOS!AN32</f>
        <v/>
      </c>
      <c r="BK15" s="146" t="str">
        <f ca="1">RESULTADOS!AO32</f>
        <v/>
      </c>
      <c r="BL15" s="146" t="str">
        <f ca="1">RESULTADOS!AP32</f>
        <v/>
      </c>
      <c r="BM15" s="146" t="str">
        <f ca="1">RESULTADOS!AQ32</f>
        <v/>
      </c>
      <c r="BN15" s="146" t="str">
        <f ca="1">RESULTADOS!AR32</f>
        <v/>
      </c>
      <c r="BO15" s="146" t="str">
        <f ca="1">RESULTADOS!AS32</f>
        <v/>
      </c>
      <c r="BP15" s="146" t="str">
        <f ca="1">RESULTADOS!AT32</f>
        <v/>
      </c>
      <c r="BQ15" s="146" t="str">
        <f ca="1">RESULTADOS!AU32</f>
        <v/>
      </c>
      <c r="BR15" s="146" t="str">
        <f ca="1">RESULTADOS!AV32</f>
        <v/>
      </c>
      <c r="BS15" s="146" t="str">
        <f ca="1">RESULTADOS!AW32</f>
        <v/>
      </c>
      <c r="BT15" s="146" t="str">
        <f ca="1">RESULTADOS!AX32</f>
        <v/>
      </c>
      <c r="BU15" s="146" t="str">
        <f ca="1">RESULTADOS!AY32</f>
        <v/>
      </c>
      <c r="BV15" s="146" t="str">
        <f ca="1">RESULTADOS!AZ32</f>
        <v/>
      </c>
      <c r="BW15" s="146" t="str">
        <f ca="1">RESULTADOS!BA32</f>
        <v/>
      </c>
      <c r="BX15" s="146" t="str">
        <f ca="1">RESULTADOS!BB32</f>
        <v/>
      </c>
      <c r="BY15" s="146" t="str">
        <f ca="1">RESULTADOS!BC32</f>
        <v/>
      </c>
      <c r="BZ15" s="146" t="str">
        <f ca="1">RESULTADOS!BD32</f>
        <v/>
      </c>
      <c r="CA15" s="146" t="str">
        <f ca="1">RESULTADOS!BE32</f>
        <v/>
      </c>
      <c r="CB15" s="146" t="str">
        <f ca="1">RESULTADOS!BF32</f>
        <v/>
      </c>
      <c r="CC15" s="146" t="str">
        <f ca="1">RESULTADOS!BG32</f>
        <v/>
      </c>
      <c r="CD15" s="146" t="str">
        <f ca="1">RESULTADOS!BH32</f>
        <v/>
      </c>
      <c r="CE15" s="146" t="str">
        <f ca="1">RESULTADOS!BI32</f>
        <v/>
      </c>
      <c r="CF15" s="146" t="str">
        <f ca="1">RESULTADOS!BJ32</f>
        <v/>
      </c>
      <c r="CG15" s="146" t="str">
        <f ca="1">RESULTADOS!BK32</f>
        <v/>
      </c>
      <c r="CH15" s="146" t="str">
        <f ca="1">RESULTADOS!BL32</f>
        <v/>
      </c>
      <c r="CI15" s="146" t="str">
        <f ca="1">RESULTADOS!BM32</f>
        <v/>
      </c>
      <c r="CJ15" s="146" t="str">
        <f ca="1">RESULTADOS!BN32</f>
        <v/>
      </c>
      <c r="CK15" s="146" t="str">
        <f ca="1">RESULTADOS!BO32</f>
        <v/>
      </c>
      <c r="CL15" s="146" t="str">
        <f ca="1">RESULTADOS!BP32</f>
        <v/>
      </c>
      <c r="CM15" s="146" t="str">
        <f ca="1">RESULTADOS!BQ32</f>
        <v/>
      </c>
      <c r="CN15" s="146" t="str">
        <f ca="1">RESULTADOS!BR32</f>
        <v/>
      </c>
      <c r="CO15" s="146" t="str">
        <f ca="1">RESULTADOS!BS32</f>
        <v/>
      </c>
      <c r="CP15" s="146" t="str">
        <f ca="1">RESULTADOS!BT32</f>
        <v/>
      </c>
      <c r="CQ15" s="146" t="str">
        <f ca="1">RESULTADOS!BU32</f>
        <v/>
      </c>
      <c r="CR15" s="146" t="str">
        <f ca="1">RESULTADOS!BV32</f>
        <v/>
      </c>
      <c r="CS15" s="146" t="str">
        <f ca="1">RESULTADOS!BW32</f>
        <v/>
      </c>
      <c r="CT15" s="146" t="str">
        <f ca="1">RESULTADOS!BX32</f>
        <v/>
      </c>
      <c r="CU15" s="146" t="str">
        <f ca="1">RESULTADOS!BY32</f>
        <v/>
      </c>
      <c r="CV15" s="146" t="str">
        <f ca="1">RESULTADOS!BZ32</f>
        <v/>
      </c>
      <c r="CW15" s="146" t="str">
        <f ca="1">RESULTADOS!CA32</f>
        <v/>
      </c>
      <c r="CX15" s="146" t="str">
        <f ca="1">RESULTADOS!CB32</f>
        <v/>
      </c>
      <c r="CY15" s="146" t="str">
        <f ca="1">RESULTADOS!CC32</f>
        <v/>
      </c>
      <c r="CZ15" s="146" t="str">
        <f ca="1">RESULTADOS!CD32</f>
        <v/>
      </c>
      <c r="DA15" s="146" t="str">
        <f ca="1">RESULTADOS!CE32</f>
        <v/>
      </c>
      <c r="DB15" s="146" t="str">
        <f ca="1">RESULTADOS!CF32</f>
        <v/>
      </c>
      <c r="DC15" s="146" t="str">
        <f ca="1">RESULTADOS!CG32</f>
        <v/>
      </c>
      <c r="DD15" s="146" t="str">
        <f ca="1">RESULTADOS!CH32</f>
        <v/>
      </c>
      <c r="DE15" s="146" t="str">
        <f ca="1">RESULTADOS!CI32</f>
        <v/>
      </c>
      <c r="DF15" s="146" t="str">
        <f ca="1">RESULTADOS!CJ32</f>
        <v/>
      </c>
      <c r="DG15" s="146" t="str">
        <f ca="1">RESULTADOS!CK32</f>
        <v/>
      </c>
      <c r="DH15" s="146" t="str">
        <f ca="1">RESULTADOS!CL32</f>
        <v/>
      </c>
      <c r="DI15" s="146" t="str">
        <f ca="1">RESULTADOS!CM32</f>
        <v/>
      </c>
      <c r="DJ15" s="146" t="str">
        <f ca="1">RESULTADOS!CN32</f>
        <v/>
      </c>
      <c r="DK15" s="146" t="str">
        <f ca="1">RESULTADOS!CO32</f>
        <v/>
      </c>
      <c r="DL15" s="146" t="str">
        <f ca="1">RESULTADOS!CP32</f>
        <v/>
      </c>
      <c r="DM15" s="146" t="str">
        <f ca="1">RESULTADOS!CQ32</f>
        <v/>
      </c>
      <c r="DN15" s="146" t="str">
        <f ca="1">RESULTADOS!CR32</f>
        <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t="str">
        <f>RESULTADOS!B33</f>
        <v/>
      </c>
      <c r="U16" s="148" t="str">
        <f>RESULTADOS!C33</f>
        <v/>
      </c>
      <c r="V16" s="148" t="str">
        <f t="shared" si="0"/>
        <v/>
      </c>
      <c r="W16" s="148" t="str">
        <v/>
      </c>
      <c r="X16" s="148" t="str">
        <f>RESULTADOS!D33</f>
        <v/>
      </c>
      <c r="Y16" s="148" t="str">
        <v/>
      </c>
      <c r="Z16" s="237" t="str">
        <v/>
      </c>
      <c r="AA16" s="146" t="str">
        <f ca="1">RESULTADOS!E33</f>
        <v/>
      </c>
      <c r="AB16" s="146" t="str">
        <f ca="1">RESULTADOS!F33</f>
        <v/>
      </c>
      <c r="AC16" s="146" t="str">
        <f ca="1">RESULTADOS!G33</f>
        <v/>
      </c>
      <c r="AD16" s="146" t="str">
        <f ca="1">RESULTADOS!H33</f>
        <v/>
      </c>
      <c r="AE16" s="146" t="str">
        <f ca="1">RESULTADOS!I33</f>
        <v/>
      </c>
      <c r="AF16" s="146" t="str">
        <f ca="1">RESULTADOS!J33</f>
        <v/>
      </c>
      <c r="AG16" s="146" t="str">
        <f ca="1">RESULTADOS!K33</f>
        <v/>
      </c>
      <c r="AH16" s="146" t="str">
        <f ca="1">RESULTADOS!L33</f>
        <v/>
      </c>
      <c r="AI16" s="146" t="str">
        <f ca="1">RESULTADOS!M33</f>
        <v/>
      </c>
      <c r="AJ16" s="146" t="str">
        <f ca="1">RESULTADOS!N33</f>
        <v/>
      </c>
      <c r="AK16" s="146" t="str">
        <f ca="1">RESULTADOS!O33</f>
        <v/>
      </c>
      <c r="AL16" s="146" t="str">
        <f ca="1">RESULTADOS!P33</f>
        <v/>
      </c>
      <c r="AM16" s="146" t="str">
        <f ca="1">RESULTADOS!Q33</f>
        <v/>
      </c>
      <c r="AN16" s="146" t="str">
        <f ca="1">RESULTADOS!R33</f>
        <v/>
      </c>
      <c r="AO16" s="146" t="str">
        <f ca="1">RESULTADOS!S33</f>
        <v/>
      </c>
      <c r="AP16" s="146" t="str">
        <f ca="1">RESULTADOS!T33</f>
        <v/>
      </c>
      <c r="AQ16" s="146" t="str">
        <f ca="1">RESULTADOS!U33</f>
        <v/>
      </c>
      <c r="AR16" s="146" t="str">
        <f ca="1">RESULTADOS!V33</f>
        <v/>
      </c>
      <c r="AS16" s="146" t="str">
        <f ca="1">RESULTADOS!W33</f>
        <v/>
      </c>
      <c r="AT16" s="146" t="str">
        <f ca="1">RESULTADOS!X33</f>
        <v/>
      </c>
      <c r="AU16" s="146" t="str">
        <f ca="1">RESULTADOS!Y33</f>
        <v/>
      </c>
      <c r="AV16" s="146" t="str">
        <f ca="1">RESULTADOS!Z33</f>
        <v/>
      </c>
      <c r="AW16" s="146" t="str">
        <f ca="1">RESULTADOS!AA33</f>
        <v/>
      </c>
      <c r="AX16" s="146" t="str">
        <f ca="1">RESULTADOS!AB33</f>
        <v/>
      </c>
      <c r="AY16" s="146" t="str">
        <f ca="1">RESULTADOS!AC33</f>
        <v/>
      </c>
      <c r="AZ16" s="146" t="str">
        <f ca="1">RESULTADOS!AD33</f>
        <v/>
      </c>
      <c r="BA16" s="146" t="str">
        <f ca="1">RESULTADOS!AE33</f>
        <v/>
      </c>
      <c r="BB16" s="146" t="str">
        <f ca="1">RESULTADOS!AF33</f>
        <v/>
      </c>
      <c r="BC16" s="146" t="str">
        <f ca="1">RESULTADOS!AG33</f>
        <v/>
      </c>
      <c r="BD16" s="146" t="str">
        <f ca="1">RESULTADOS!AH33</f>
        <v/>
      </c>
      <c r="BE16" s="146" t="str">
        <f ca="1">RESULTADOS!AI33</f>
        <v/>
      </c>
      <c r="BF16" s="146" t="str">
        <f ca="1">RESULTADOS!AJ33</f>
        <v/>
      </c>
      <c r="BG16" s="146" t="str">
        <f ca="1">RESULTADOS!AK33</f>
        <v/>
      </c>
      <c r="BH16" s="146" t="str">
        <f ca="1">RESULTADOS!AL33</f>
        <v/>
      </c>
      <c r="BI16" s="146" t="str">
        <f ca="1">RESULTADOS!AM33</f>
        <v/>
      </c>
      <c r="BJ16" s="146" t="str">
        <f ca="1">RESULTADOS!AN33</f>
        <v/>
      </c>
      <c r="BK16" s="146" t="str">
        <f ca="1">RESULTADOS!AO33</f>
        <v/>
      </c>
      <c r="BL16" s="146" t="str">
        <f ca="1">RESULTADOS!AP33</f>
        <v/>
      </c>
      <c r="BM16" s="146" t="str">
        <f ca="1">RESULTADOS!AQ33</f>
        <v/>
      </c>
      <c r="BN16" s="146" t="str">
        <f ca="1">RESULTADOS!AR33</f>
        <v/>
      </c>
      <c r="BO16" s="146" t="str">
        <f ca="1">RESULTADOS!AS33</f>
        <v/>
      </c>
      <c r="BP16" s="146" t="str">
        <f ca="1">RESULTADOS!AT33</f>
        <v/>
      </c>
      <c r="BQ16" s="146" t="str">
        <f ca="1">RESULTADOS!AU33</f>
        <v/>
      </c>
      <c r="BR16" s="146" t="str">
        <f ca="1">RESULTADOS!AV33</f>
        <v/>
      </c>
      <c r="BS16" s="146" t="str">
        <f ca="1">RESULTADOS!AW33</f>
        <v/>
      </c>
      <c r="BT16" s="146" t="str">
        <f ca="1">RESULTADOS!AX33</f>
        <v/>
      </c>
      <c r="BU16" s="146" t="str">
        <f ca="1">RESULTADOS!AY33</f>
        <v/>
      </c>
      <c r="BV16" s="146" t="str">
        <f ca="1">RESULTADOS!AZ33</f>
        <v/>
      </c>
      <c r="BW16" s="146" t="str">
        <f ca="1">RESULTADOS!BA33</f>
        <v/>
      </c>
      <c r="BX16" s="146" t="str">
        <f ca="1">RESULTADOS!BB33</f>
        <v/>
      </c>
      <c r="BY16" s="146" t="str">
        <f ca="1">RESULTADOS!BC33</f>
        <v/>
      </c>
      <c r="BZ16" s="146" t="str">
        <f ca="1">RESULTADOS!BD33</f>
        <v/>
      </c>
      <c r="CA16" s="146" t="str">
        <f ca="1">RESULTADOS!BE33</f>
        <v/>
      </c>
      <c r="CB16" s="146" t="str">
        <f ca="1">RESULTADOS!BF33</f>
        <v/>
      </c>
      <c r="CC16" s="146" t="str">
        <f ca="1">RESULTADOS!BG33</f>
        <v/>
      </c>
      <c r="CD16" s="146" t="str">
        <f ca="1">RESULTADOS!BH33</f>
        <v/>
      </c>
      <c r="CE16" s="146" t="str">
        <f ca="1">RESULTADOS!BI33</f>
        <v/>
      </c>
      <c r="CF16" s="146" t="str">
        <f ca="1">RESULTADOS!BJ33</f>
        <v/>
      </c>
      <c r="CG16" s="146" t="str">
        <f ca="1">RESULTADOS!BK33</f>
        <v/>
      </c>
      <c r="CH16" s="146" t="str">
        <f ca="1">RESULTADOS!BL33</f>
        <v/>
      </c>
      <c r="CI16" s="146" t="str">
        <f ca="1">RESULTADOS!BM33</f>
        <v/>
      </c>
      <c r="CJ16" s="146" t="str">
        <f ca="1">RESULTADOS!BN33</f>
        <v/>
      </c>
      <c r="CK16" s="146" t="str">
        <f ca="1">RESULTADOS!BO33</f>
        <v/>
      </c>
      <c r="CL16" s="146" t="str">
        <f ca="1">RESULTADOS!BP33</f>
        <v/>
      </c>
      <c r="CM16" s="146" t="str">
        <f ca="1">RESULTADOS!BQ33</f>
        <v/>
      </c>
      <c r="CN16" s="146" t="str">
        <f ca="1">RESULTADOS!BR33</f>
        <v/>
      </c>
      <c r="CO16" s="146" t="str">
        <f ca="1">RESULTADOS!BS33</f>
        <v/>
      </c>
      <c r="CP16" s="146" t="str">
        <f ca="1">RESULTADOS!BT33</f>
        <v/>
      </c>
      <c r="CQ16" s="146" t="str">
        <f ca="1">RESULTADOS!BU33</f>
        <v/>
      </c>
      <c r="CR16" s="146" t="str">
        <f ca="1">RESULTADOS!BV33</f>
        <v/>
      </c>
      <c r="CS16" s="146" t="str">
        <f ca="1">RESULTADOS!BW33</f>
        <v/>
      </c>
      <c r="CT16" s="146" t="str">
        <f ca="1">RESULTADOS!BX33</f>
        <v/>
      </c>
      <c r="CU16" s="146" t="str">
        <f ca="1">RESULTADOS!BY33</f>
        <v/>
      </c>
      <c r="CV16" s="146" t="str">
        <f ca="1">RESULTADOS!BZ33</f>
        <v/>
      </c>
      <c r="CW16" s="146" t="str">
        <f ca="1">RESULTADOS!CA33</f>
        <v/>
      </c>
      <c r="CX16" s="146" t="str">
        <f ca="1">RESULTADOS!CB33</f>
        <v/>
      </c>
      <c r="CY16" s="146" t="str">
        <f ca="1">RESULTADOS!CC33</f>
        <v/>
      </c>
      <c r="CZ16" s="146" t="str">
        <f ca="1">RESULTADOS!CD33</f>
        <v/>
      </c>
      <c r="DA16" s="146" t="str">
        <f ca="1">RESULTADOS!CE33</f>
        <v/>
      </c>
      <c r="DB16" s="146" t="str">
        <f ca="1">RESULTADOS!CF33</f>
        <v/>
      </c>
      <c r="DC16" s="146" t="str">
        <f ca="1">RESULTADOS!CG33</f>
        <v/>
      </c>
      <c r="DD16" s="146" t="str">
        <f ca="1">RESULTADOS!CH33</f>
        <v/>
      </c>
      <c r="DE16" s="146" t="str">
        <f ca="1">RESULTADOS!CI33</f>
        <v/>
      </c>
      <c r="DF16" s="146" t="str">
        <f ca="1">RESULTADOS!CJ33</f>
        <v/>
      </c>
      <c r="DG16" s="146" t="str">
        <f ca="1">RESULTADOS!CK33</f>
        <v/>
      </c>
      <c r="DH16" s="146" t="str">
        <f ca="1">RESULTADOS!CL33</f>
        <v/>
      </c>
      <c r="DI16" s="146" t="str">
        <f ca="1">RESULTADOS!CM33</f>
        <v/>
      </c>
      <c r="DJ16" s="146" t="str">
        <f ca="1">RESULTADOS!CN33</f>
        <v/>
      </c>
      <c r="DK16" s="146" t="str">
        <f ca="1">RESULTADOS!CO33</f>
        <v/>
      </c>
      <c r="DL16" s="146" t="str">
        <f ca="1">RESULTADOS!CP33</f>
        <v/>
      </c>
      <c r="DM16" s="146" t="str">
        <f ca="1">RESULTADOS!CQ33</f>
        <v/>
      </c>
      <c r="DN16" s="146" t="str">
        <f ca="1">RESULTADOS!CR33</f>
        <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144</v>
      </c>
      <c r="D17" s="147">
        <f>'01.Definición de ámbito'!C45</f>
        <v>0</v>
      </c>
      <c r="K17" s="40" t="s">
        <v>138</v>
      </c>
      <c r="T17" s="148" t="str">
        <f>RESULTADOS!B34</f>
        <v/>
      </c>
      <c r="U17" s="148" t="str">
        <f>RESULTADOS!C34</f>
        <v/>
      </c>
      <c r="V17" s="148" t="str">
        <f t="shared" si="0"/>
        <v/>
      </c>
      <c r="W17" s="148" t="str">
        <v/>
      </c>
      <c r="X17" s="148" t="str">
        <f>RESULTADOS!D34</f>
        <v/>
      </c>
      <c r="Y17" s="148" t="str">
        <v/>
      </c>
      <c r="Z17" s="237" t="str">
        <v/>
      </c>
      <c r="AA17" s="146" t="str">
        <f ca="1">RESULTADOS!E34</f>
        <v/>
      </c>
      <c r="AB17" s="146" t="str">
        <f ca="1">RESULTADOS!F34</f>
        <v/>
      </c>
      <c r="AC17" s="146" t="str">
        <f ca="1">RESULTADOS!G34</f>
        <v/>
      </c>
      <c r="AD17" s="146" t="str">
        <f ca="1">RESULTADOS!H34</f>
        <v/>
      </c>
      <c r="AE17" s="146" t="str">
        <f ca="1">RESULTADOS!I34</f>
        <v/>
      </c>
      <c r="AF17" s="146" t="str">
        <f ca="1">RESULTADOS!J34</f>
        <v/>
      </c>
      <c r="AG17" s="146" t="str">
        <f ca="1">RESULTADOS!K34</f>
        <v/>
      </c>
      <c r="AH17" s="146" t="str">
        <f ca="1">RESULTADOS!L34</f>
        <v/>
      </c>
      <c r="AI17" s="146" t="str">
        <f ca="1">RESULTADOS!M34</f>
        <v/>
      </c>
      <c r="AJ17" s="146" t="str">
        <f ca="1">RESULTADOS!N34</f>
        <v/>
      </c>
      <c r="AK17" s="146" t="str">
        <f ca="1">RESULTADOS!O34</f>
        <v/>
      </c>
      <c r="AL17" s="146" t="str">
        <f ca="1">RESULTADOS!P34</f>
        <v/>
      </c>
      <c r="AM17" s="146" t="str">
        <f ca="1">RESULTADOS!Q34</f>
        <v/>
      </c>
      <c r="AN17" s="146" t="str">
        <f ca="1">RESULTADOS!R34</f>
        <v/>
      </c>
      <c r="AO17" s="146" t="str">
        <f ca="1">RESULTADOS!S34</f>
        <v/>
      </c>
      <c r="AP17" s="146" t="str">
        <f ca="1">RESULTADOS!T34</f>
        <v/>
      </c>
      <c r="AQ17" s="146" t="str">
        <f ca="1">RESULTADOS!U34</f>
        <v/>
      </c>
      <c r="AR17" s="146" t="str">
        <f ca="1">RESULTADOS!V34</f>
        <v/>
      </c>
      <c r="AS17" s="146" t="str">
        <f ca="1">RESULTADOS!W34</f>
        <v/>
      </c>
      <c r="AT17" s="146" t="str">
        <f ca="1">RESULTADOS!X34</f>
        <v/>
      </c>
      <c r="AU17" s="146" t="str">
        <f ca="1">RESULTADOS!Y34</f>
        <v/>
      </c>
      <c r="AV17" s="146" t="str">
        <f ca="1">RESULTADOS!Z34</f>
        <v/>
      </c>
      <c r="AW17" s="146" t="str">
        <f ca="1">RESULTADOS!AA34</f>
        <v/>
      </c>
      <c r="AX17" s="146" t="str">
        <f ca="1">RESULTADOS!AB34</f>
        <v/>
      </c>
      <c r="AY17" s="146" t="str">
        <f ca="1">RESULTADOS!AC34</f>
        <v/>
      </c>
      <c r="AZ17" s="146" t="str">
        <f ca="1">RESULTADOS!AD34</f>
        <v/>
      </c>
      <c r="BA17" s="146" t="str">
        <f ca="1">RESULTADOS!AE34</f>
        <v/>
      </c>
      <c r="BB17" s="146" t="str">
        <f ca="1">RESULTADOS!AF34</f>
        <v/>
      </c>
      <c r="BC17" s="146" t="str">
        <f ca="1">RESULTADOS!AG34</f>
        <v/>
      </c>
      <c r="BD17" s="146" t="str">
        <f ca="1">RESULTADOS!AH34</f>
        <v/>
      </c>
      <c r="BE17" s="146" t="str">
        <f ca="1">RESULTADOS!AI34</f>
        <v/>
      </c>
      <c r="BF17" s="146" t="str">
        <f ca="1">RESULTADOS!AJ34</f>
        <v/>
      </c>
      <c r="BG17" s="146" t="str">
        <f ca="1">RESULTADOS!AK34</f>
        <v/>
      </c>
      <c r="BH17" s="146" t="str">
        <f ca="1">RESULTADOS!AL34</f>
        <v/>
      </c>
      <c r="BI17" s="146" t="str">
        <f ca="1">RESULTADOS!AM34</f>
        <v/>
      </c>
      <c r="BJ17" s="146" t="str">
        <f ca="1">RESULTADOS!AN34</f>
        <v/>
      </c>
      <c r="BK17" s="146" t="str">
        <f ca="1">RESULTADOS!AO34</f>
        <v/>
      </c>
      <c r="BL17" s="146" t="str">
        <f ca="1">RESULTADOS!AP34</f>
        <v/>
      </c>
      <c r="BM17" s="146" t="str">
        <f ca="1">RESULTADOS!AQ34</f>
        <v/>
      </c>
      <c r="BN17" s="146" t="str">
        <f ca="1">RESULTADOS!AR34</f>
        <v/>
      </c>
      <c r="BO17" s="146" t="str">
        <f ca="1">RESULTADOS!AS34</f>
        <v/>
      </c>
      <c r="BP17" s="146" t="str">
        <f ca="1">RESULTADOS!AT34</f>
        <v/>
      </c>
      <c r="BQ17" s="146" t="str">
        <f ca="1">RESULTADOS!AU34</f>
        <v/>
      </c>
      <c r="BR17" s="146" t="str">
        <f ca="1">RESULTADOS!AV34</f>
        <v/>
      </c>
      <c r="BS17" s="146" t="str">
        <f ca="1">RESULTADOS!AW34</f>
        <v/>
      </c>
      <c r="BT17" s="146" t="str">
        <f ca="1">RESULTADOS!AX34</f>
        <v/>
      </c>
      <c r="BU17" s="146" t="str">
        <f ca="1">RESULTADOS!AY34</f>
        <v/>
      </c>
      <c r="BV17" s="146" t="str">
        <f ca="1">RESULTADOS!AZ34</f>
        <v/>
      </c>
      <c r="BW17" s="146" t="str">
        <f ca="1">RESULTADOS!BA34</f>
        <v/>
      </c>
      <c r="BX17" s="146" t="str">
        <f ca="1">RESULTADOS!BB34</f>
        <v/>
      </c>
      <c r="BY17" s="146" t="str">
        <f ca="1">RESULTADOS!BC34</f>
        <v/>
      </c>
      <c r="BZ17" s="146" t="str">
        <f ca="1">RESULTADOS!BD34</f>
        <v/>
      </c>
      <c r="CA17" s="146" t="str">
        <f ca="1">RESULTADOS!BE34</f>
        <v/>
      </c>
      <c r="CB17" s="146" t="str">
        <f ca="1">RESULTADOS!BF34</f>
        <v/>
      </c>
      <c r="CC17" s="146" t="str">
        <f ca="1">RESULTADOS!BG34</f>
        <v/>
      </c>
      <c r="CD17" s="146" t="str">
        <f ca="1">RESULTADOS!BH34</f>
        <v/>
      </c>
      <c r="CE17" s="146" t="str">
        <f ca="1">RESULTADOS!BI34</f>
        <v/>
      </c>
      <c r="CF17" s="146" t="str">
        <f ca="1">RESULTADOS!BJ34</f>
        <v/>
      </c>
      <c r="CG17" s="146" t="str">
        <f ca="1">RESULTADOS!BK34</f>
        <v/>
      </c>
      <c r="CH17" s="146" t="str">
        <f ca="1">RESULTADOS!BL34</f>
        <v/>
      </c>
      <c r="CI17" s="146" t="str">
        <f ca="1">RESULTADOS!BM34</f>
        <v/>
      </c>
      <c r="CJ17" s="146" t="str">
        <f ca="1">RESULTADOS!BN34</f>
        <v/>
      </c>
      <c r="CK17" s="146" t="str">
        <f ca="1">RESULTADOS!BO34</f>
        <v/>
      </c>
      <c r="CL17" s="146" t="str">
        <f ca="1">RESULTADOS!BP34</f>
        <v/>
      </c>
      <c r="CM17" s="146" t="str">
        <f ca="1">RESULTADOS!BQ34</f>
        <v/>
      </c>
      <c r="CN17" s="146" t="str">
        <f ca="1">RESULTADOS!BR34</f>
        <v/>
      </c>
      <c r="CO17" s="146" t="str">
        <f ca="1">RESULTADOS!BS34</f>
        <v/>
      </c>
      <c r="CP17" s="146" t="str">
        <f ca="1">RESULTADOS!BT34</f>
        <v/>
      </c>
      <c r="CQ17" s="146" t="str">
        <f ca="1">RESULTADOS!BU34</f>
        <v/>
      </c>
      <c r="CR17" s="146" t="str">
        <f ca="1">RESULTADOS!BV34</f>
        <v/>
      </c>
      <c r="CS17" s="146" t="str">
        <f ca="1">RESULTADOS!BW34</f>
        <v/>
      </c>
      <c r="CT17" s="146" t="str">
        <f ca="1">RESULTADOS!BX34</f>
        <v/>
      </c>
      <c r="CU17" s="146" t="str">
        <f ca="1">RESULTADOS!BY34</f>
        <v/>
      </c>
      <c r="CV17" s="146" t="str">
        <f ca="1">RESULTADOS!BZ34</f>
        <v/>
      </c>
      <c r="CW17" s="146" t="str">
        <f ca="1">RESULTADOS!CA34</f>
        <v/>
      </c>
      <c r="CX17" s="146" t="str">
        <f ca="1">RESULTADOS!CB34</f>
        <v/>
      </c>
      <c r="CY17" s="146" t="str">
        <f ca="1">RESULTADOS!CC34</f>
        <v/>
      </c>
      <c r="CZ17" s="146" t="str">
        <f ca="1">RESULTADOS!CD34</f>
        <v/>
      </c>
      <c r="DA17" s="146" t="str">
        <f ca="1">RESULTADOS!CE34</f>
        <v/>
      </c>
      <c r="DB17" s="146" t="str">
        <f ca="1">RESULTADOS!CF34</f>
        <v/>
      </c>
      <c r="DC17" s="146" t="str">
        <f ca="1">RESULTADOS!CG34</f>
        <v/>
      </c>
      <c r="DD17" s="146" t="str">
        <f ca="1">RESULTADOS!CH34</f>
        <v/>
      </c>
      <c r="DE17" s="146" t="str">
        <f ca="1">RESULTADOS!CI34</f>
        <v/>
      </c>
      <c r="DF17" s="146" t="str">
        <f ca="1">RESULTADOS!CJ34</f>
        <v/>
      </c>
      <c r="DG17" s="146" t="str">
        <f ca="1">RESULTADOS!CK34</f>
        <v/>
      </c>
      <c r="DH17" s="146" t="str">
        <f ca="1">RESULTADOS!CL34</f>
        <v/>
      </c>
      <c r="DI17" s="146" t="str">
        <f ca="1">RESULTADOS!CM34</f>
        <v/>
      </c>
      <c r="DJ17" s="146" t="str">
        <f ca="1">RESULTADOS!CN34</f>
        <v/>
      </c>
      <c r="DK17" s="146" t="str">
        <f ca="1">RESULTADOS!CO34</f>
        <v/>
      </c>
      <c r="DL17" s="146" t="str">
        <f ca="1">RESULTADOS!CP34</f>
        <v/>
      </c>
      <c r="DM17" s="146" t="str">
        <f ca="1">RESULTADOS!CQ34</f>
        <v/>
      </c>
      <c r="DN17" s="146" t="str">
        <f ca="1">RESULTADOS!CR34</f>
        <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26</v>
      </c>
      <c r="L18" s="148">
        <f ca="1">RESULTADOS!L8</f>
        <v>265</v>
      </c>
      <c r="M18" s="216">
        <f ca="1">RESULTADOS!M8</f>
        <v>0.28804347826086957</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274</v>
      </c>
      <c r="D19" s="147" t="str">
        <f>'01.Definición de ámbito'!D49</f>
        <v>No</v>
      </c>
      <c r="K19" s="40" t="s">
        <v>28</v>
      </c>
      <c r="L19" s="148">
        <f ca="1">RESULTADOS!L9</f>
        <v>72</v>
      </c>
      <c r="M19" s="216">
        <f ca="1">RESULTADOS!M9</f>
        <v>7.8260869565217397E-2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275</v>
      </c>
      <c r="D20" s="147" t="str">
        <f>'01.Definición de ámbito'!D50</f>
        <v>No</v>
      </c>
      <c r="K20" s="40" t="s">
        <v>31</v>
      </c>
      <c r="L20" s="148">
        <f ca="1">RESULTADOS!L10</f>
        <v>583</v>
      </c>
      <c r="M20" s="216">
        <f ca="1">RESULTADOS!M10</f>
        <v>0.63369565217391299</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48</v>
      </c>
      <c r="L21" s="148">
        <f ca="1">RESULTADOS!L11</f>
        <v>920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No</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146</v>
      </c>
      <c r="D29" s="147" t="str">
        <f>'01.Definición de ámbito'!C58</f>
        <v>Autoevaluación con recursos externos</v>
      </c>
      <c r="K29" s="40" t="s">
        <v>350</v>
      </c>
      <c r="L29" s="150">
        <f ca="1">RESULTADOS!F14</f>
        <v>7.83</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24" zoomScaleNormal="100" workbookViewId="0">
      <selection activeCell="C35" sqref="C35"/>
    </sheetView>
  </sheetViews>
  <sheetFormatPr baseColWidth="10" defaultColWidth="11.54296875" defaultRowHeight="12.5"/>
  <cols>
    <col min="1" max="1" width="11.54296875" style="14"/>
    <col min="2" max="2" width="79.90625" style="14" customWidth="1"/>
    <col min="3" max="3" width="126.453125" style="14" customWidth="1"/>
    <col min="4" max="4" width="8.08984375" style="14" customWidth="1"/>
    <col min="5" max="5" width="16" style="14" customWidth="1"/>
    <col min="6" max="11" width="9.08984375" style="14" customWidth="1"/>
    <col min="12" max="12" width="23.08984375" style="14" customWidth="1"/>
    <col min="13" max="13" width="4" style="14" customWidth="1"/>
    <col min="14" max="19" width="9.08984375" style="14" customWidth="1"/>
    <col min="20" max="20" width="20" style="14" customWidth="1"/>
    <col min="21" max="23" width="9.08984375" style="14" customWidth="1"/>
    <col min="24" max="26" width="8.63281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75" customHeight="1">
      <c r="A3" s="27"/>
      <c r="B3" s="65" t="s">
        <v>278</v>
      </c>
      <c r="C3" s="19"/>
      <c r="D3" s="251" t="s">
        <v>14</v>
      </c>
      <c r="E3" s="252"/>
      <c r="F3" s="19"/>
      <c r="G3" s="19"/>
      <c r="H3" s="19"/>
      <c r="I3" s="19"/>
      <c r="J3" s="19"/>
      <c r="K3" s="19"/>
      <c r="L3" s="19"/>
      <c r="M3" s="19"/>
      <c r="N3" s="19"/>
      <c r="O3" s="19"/>
      <c r="P3" s="19"/>
      <c r="Q3" s="19"/>
      <c r="R3" s="19"/>
      <c r="S3" s="19"/>
      <c r="T3" s="19"/>
      <c r="U3" s="19"/>
      <c r="V3" s="19"/>
      <c r="W3" s="19"/>
      <c r="X3" s="19"/>
      <c r="Y3" s="19"/>
      <c r="Z3" s="19"/>
    </row>
    <row r="4" spans="1:64" ht="16.649999999999999"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6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25" customHeight="1">
      <c r="B7" s="13" t="s">
        <v>127</v>
      </c>
      <c r="C7" s="80" t="s">
        <v>505</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25" customHeight="1">
      <c r="B9" s="13" t="s">
        <v>132</v>
      </c>
      <c r="C9" s="80" t="s">
        <v>506</v>
      </c>
      <c r="D9" s="19"/>
      <c r="E9" s="19"/>
      <c r="F9" s="19"/>
      <c r="G9" s="19"/>
      <c r="H9" s="19"/>
      <c r="I9" s="19"/>
      <c r="J9" s="19"/>
      <c r="K9" s="19"/>
      <c r="L9" s="19"/>
      <c r="M9" s="19"/>
      <c r="N9" s="19"/>
      <c r="O9" s="19"/>
      <c r="P9" s="19"/>
      <c r="Q9" s="19"/>
      <c r="R9" s="19"/>
      <c r="S9" s="19"/>
      <c r="T9" s="19"/>
      <c r="U9" s="19"/>
      <c r="V9" s="19"/>
      <c r="W9" s="19"/>
      <c r="X9" s="19"/>
      <c r="Y9" s="19"/>
      <c r="Z9" s="19"/>
    </row>
    <row r="10" spans="1:64" ht="10.6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25" customHeight="1">
      <c r="B11" s="13" t="s">
        <v>135</v>
      </c>
      <c r="C11" s="80" t="s">
        <v>507</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25" customHeight="1">
      <c r="B13" s="13" t="s">
        <v>136</v>
      </c>
      <c r="C13" s="80" t="s">
        <v>508</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6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25" customHeight="1">
      <c r="B17" s="16" t="s">
        <v>281</v>
      </c>
      <c r="C17" s="80" t="s">
        <v>509</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25" customHeight="1">
      <c r="B19" s="13" t="s">
        <v>137</v>
      </c>
      <c r="C19" s="80" t="s">
        <v>510</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6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25" customHeight="1">
      <c r="B21" s="16" t="s">
        <v>282</v>
      </c>
      <c r="C21" s="247" t="s">
        <v>511</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6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2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6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25" customHeight="1">
      <c r="B27" s="16" t="s">
        <v>284</v>
      </c>
      <c r="C27" s="80" t="s">
        <v>494</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2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25" customHeight="1">
      <c r="B29" s="16" t="s">
        <v>285</v>
      </c>
      <c r="C29" s="84" t="s">
        <v>496</v>
      </c>
      <c r="D29" s="128"/>
      <c r="E29" s="128"/>
      <c r="F29" s="128"/>
      <c r="G29" s="128"/>
      <c r="H29" s="128"/>
      <c r="I29" s="128"/>
      <c r="J29" s="128"/>
      <c r="K29" s="128"/>
      <c r="L29" s="128"/>
      <c r="M29" s="128"/>
      <c r="N29" s="19"/>
      <c r="O29" s="19"/>
      <c r="P29" s="19"/>
      <c r="Q29" s="19"/>
      <c r="R29" s="19"/>
      <c r="S29" s="19"/>
      <c r="V29" s="19"/>
      <c r="W29" s="19"/>
      <c r="X29" s="19"/>
      <c r="Y29" s="19"/>
      <c r="Z29" s="19"/>
    </row>
    <row r="30" spans="1:26" ht="13.2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25" customHeight="1">
      <c r="B31" s="13" t="s">
        <v>139</v>
      </c>
      <c r="C31" s="84" t="s">
        <v>493</v>
      </c>
      <c r="D31" s="128"/>
      <c r="E31" s="128"/>
      <c r="F31" s="128"/>
      <c r="G31" s="128"/>
      <c r="H31" s="128"/>
      <c r="I31" s="128"/>
      <c r="J31" s="128"/>
      <c r="K31" s="128"/>
      <c r="L31" s="128"/>
      <c r="M31" s="128"/>
      <c r="N31" s="19"/>
      <c r="O31" s="19"/>
      <c r="P31" s="19"/>
      <c r="Q31" s="19"/>
      <c r="R31" s="19"/>
      <c r="S31" s="19"/>
      <c r="V31" s="19"/>
      <c r="W31" s="19"/>
      <c r="X31" s="19"/>
      <c r="Y31" s="19"/>
      <c r="Z31" s="19"/>
    </row>
    <row r="32" spans="1:26" ht="10.6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495</v>
      </c>
    </row>
    <row r="34" spans="2:26" ht="10.6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v>45280</v>
      </c>
      <c r="D35" s="128"/>
      <c r="E35" s="128"/>
      <c r="F35" s="128"/>
      <c r="G35" s="128"/>
      <c r="H35" s="128"/>
      <c r="I35" s="128"/>
      <c r="J35" s="128"/>
      <c r="K35" s="128"/>
      <c r="L35" s="128"/>
      <c r="M35" s="128"/>
    </row>
    <row r="36" spans="2:26" ht="11.4" customHeight="1">
      <c r="B36" s="16"/>
      <c r="C36" s="16"/>
    </row>
    <row r="37" spans="2:26" ht="14.15" customHeight="1">
      <c r="B37" s="127"/>
      <c r="C37" s="127"/>
      <c r="D37" s="19"/>
      <c r="E37" s="19"/>
      <c r="F37" s="19"/>
      <c r="G37" s="19"/>
      <c r="H37" s="19"/>
      <c r="I37" s="19"/>
      <c r="J37" s="19"/>
      <c r="K37" s="19"/>
      <c r="L37" s="19"/>
      <c r="M37" s="19"/>
      <c r="N37" s="19"/>
    </row>
    <row r="38" spans="2:26" ht="10.6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2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6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6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6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2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274</v>
      </c>
      <c r="D49" s="20" t="s">
        <v>6</v>
      </c>
      <c r="G49" s="81"/>
    </row>
    <row r="50" spans="2:26" ht="14.9" customHeight="1">
      <c r="C50" s="82" t="s">
        <v>275</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v>
      </c>
      <c r="G53" s="81"/>
    </row>
    <row r="54" spans="2:26" ht="14.9" customHeight="1">
      <c r="C54" s="82" t="s">
        <v>276</v>
      </c>
      <c r="D54" s="20" t="s">
        <v>6</v>
      </c>
      <c r="G54" s="81"/>
    </row>
    <row r="55" spans="2:26" ht="14.9" customHeight="1">
      <c r="C55" s="82" t="s">
        <v>277</v>
      </c>
      <c r="D55" s="20" t="s">
        <v>6</v>
      </c>
      <c r="G55" s="81"/>
    </row>
    <row r="56" spans="2:26" ht="14.9" customHeight="1">
      <c r="C56" s="82" t="s">
        <v>10</v>
      </c>
      <c r="D56" s="20" t="s">
        <v>6</v>
      </c>
      <c r="G56" s="81"/>
    </row>
    <row r="57" spans="2:26" ht="13.2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2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6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2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6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2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92"/>
    <col min="2" max="2" width="14" style="192" customWidth="1"/>
    <col min="3" max="3" width="8.6328125" style="192" customWidth="1"/>
    <col min="4" max="4" width="9.453125" style="192" customWidth="1"/>
    <col min="5" max="5" width="14.453125" style="192" customWidth="1"/>
    <col min="6" max="6" width="8.54296875" style="192" customWidth="1"/>
    <col min="7" max="7" width="11.54296875" style="192"/>
    <col min="8" max="8" width="12" style="192" customWidth="1"/>
    <col min="9" max="9" width="8.6328125" style="192" customWidth="1"/>
    <col min="10" max="10" width="11.54296875" style="192"/>
    <col min="11" max="11" width="19.54296875" style="192" customWidth="1"/>
    <col min="12" max="12" width="40.63281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7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649999999999999"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 customHeight="1" thickBot="1">
      <c r="B6" s="253" t="s">
        <v>291</v>
      </c>
      <c r="C6" s="253"/>
      <c r="D6" s="253"/>
      <c r="E6" s="253"/>
      <c r="F6" s="253"/>
      <c r="G6" s="253"/>
      <c r="H6" s="253"/>
      <c r="I6" s="253"/>
      <c r="J6" s="253"/>
      <c r="K6" s="253"/>
      <c r="L6" s="253"/>
    </row>
    <row r="7" spans="1:60" ht="33.15" customHeight="1" thickTop="1">
      <c r="B7" s="254" t="s">
        <v>292</v>
      </c>
      <c r="C7" s="254"/>
      <c r="D7" s="254"/>
      <c r="E7" s="254"/>
      <c r="F7" s="254"/>
      <c r="G7" s="254"/>
      <c r="H7" s="254"/>
      <c r="I7" s="254"/>
      <c r="J7" s="254"/>
      <c r="K7" s="254"/>
      <c r="L7" s="254"/>
    </row>
    <row r="8" spans="1:60" ht="21.65" customHeight="1"/>
    <row r="9" spans="1:60" ht="17.149999999999999" customHeight="1">
      <c r="B9" s="200" t="s">
        <v>293</v>
      </c>
      <c r="C9" s="201" t="s">
        <v>60</v>
      </c>
      <c r="E9" s="200" t="s">
        <v>294</v>
      </c>
      <c r="F9" s="201" t="s">
        <v>6</v>
      </c>
      <c r="H9" s="200" t="s">
        <v>295</v>
      </c>
      <c r="I9" s="201" t="s">
        <v>6</v>
      </c>
    </row>
    <row r="10" spans="1:60" ht="17.149999999999999" customHeight="1">
      <c r="B10" s="200" t="s">
        <v>296</v>
      </c>
      <c r="C10" s="201" t="s">
        <v>6</v>
      </c>
      <c r="E10" s="200" t="s">
        <v>297</v>
      </c>
      <c r="F10" s="201" t="s">
        <v>6</v>
      </c>
      <c r="H10" s="200" t="s">
        <v>298</v>
      </c>
      <c r="I10" s="201" t="s">
        <v>6</v>
      </c>
    </row>
    <row r="11" spans="1:60" ht="17.149999999999999" customHeight="1">
      <c r="B11" s="200" t="s">
        <v>299</v>
      </c>
      <c r="C11" s="201" t="s">
        <v>6</v>
      </c>
      <c r="E11" s="200" t="s">
        <v>300</v>
      </c>
      <c r="F11" s="201" t="s">
        <v>6</v>
      </c>
      <c r="H11" s="200" t="s">
        <v>301</v>
      </c>
      <c r="I11" s="201" t="s">
        <v>6</v>
      </c>
    </row>
    <row r="12" spans="1:60" ht="17.149999999999999" customHeight="1">
      <c r="B12" s="200" t="s">
        <v>302</v>
      </c>
      <c r="C12" s="201" t="s">
        <v>60</v>
      </c>
      <c r="E12" s="200" t="s">
        <v>303</v>
      </c>
      <c r="F12" s="201" t="s">
        <v>6</v>
      </c>
      <c r="H12" s="200" t="s">
        <v>304</v>
      </c>
      <c r="I12" s="201" t="s">
        <v>6</v>
      </c>
      <c r="K12" s="202" t="s">
        <v>305</v>
      </c>
      <c r="L12" s="202" t="s">
        <v>306</v>
      </c>
    </row>
    <row r="13" spans="1:60" ht="17.149999999999999" customHeight="1">
      <c r="B13" s="200" t="s">
        <v>307</v>
      </c>
      <c r="C13" s="201" t="s">
        <v>60</v>
      </c>
      <c r="E13" s="200" t="s">
        <v>308</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5" t="s">
        <v>309</v>
      </c>
      <c r="D17" s="256"/>
      <c r="E17" s="256"/>
      <c r="F17" s="256"/>
      <c r="G17" s="257"/>
      <c r="K17" s="203"/>
      <c r="L17" s="203"/>
    </row>
    <row r="18" spans="3:12">
      <c r="C18" s="258"/>
      <c r="D18" s="259"/>
      <c r="E18" s="259"/>
      <c r="F18" s="259"/>
      <c r="G18" s="260"/>
      <c r="K18" s="203"/>
      <c r="L18" s="203"/>
    </row>
    <row r="19" spans="3:12">
      <c r="C19" s="261"/>
      <c r="D19" s="262"/>
      <c r="E19" s="262"/>
      <c r="F19" s="262"/>
      <c r="G19" s="263"/>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Normal="100" workbookViewId="0">
      <selection activeCell="C18" sqref="C18"/>
    </sheetView>
  </sheetViews>
  <sheetFormatPr baseColWidth="10" defaultColWidth="11.54296875" defaultRowHeight="12.5"/>
  <cols>
    <col min="1" max="1" width="11.6328125" style="14" customWidth="1"/>
    <col min="2" max="2" width="9.54296875" style="14" customWidth="1"/>
    <col min="3" max="3" width="27.36328125" style="14" customWidth="1"/>
    <col min="4" max="4" width="19.08984375" style="14" customWidth="1"/>
    <col min="5" max="5" width="27.54296875" style="14" bestFit="1" customWidth="1"/>
    <col min="6" max="6" width="72.54296875" style="14" customWidth="1"/>
    <col min="7" max="7" width="64.6328125" style="14" customWidth="1"/>
    <col min="8" max="8" width="134.453125" style="14" customWidth="1"/>
    <col min="9" max="24" width="8.63281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7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649999999999999"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4" t="s">
        <v>15</v>
      </c>
      <c r="C5" s="264"/>
      <c r="D5" s="264"/>
      <c r="E5" s="264"/>
      <c r="F5" s="264"/>
      <c r="G5" s="264"/>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149999999999999"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149999999999999" customHeight="1">
      <c r="B8" s="133">
        <v>1</v>
      </c>
      <c r="C8" s="134" t="s">
        <v>497</v>
      </c>
      <c r="D8" s="72" t="s">
        <v>492</v>
      </c>
      <c r="E8" s="72" t="s">
        <v>62</v>
      </c>
      <c r="F8" s="158" t="s">
        <v>482</v>
      </c>
      <c r="G8" s="72"/>
      <c r="H8" s="187" t="s">
        <v>20</v>
      </c>
      <c r="I8" s="19"/>
      <c r="J8" s="19"/>
      <c r="K8" s="19"/>
      <c r="L8" s="19"/>
      <c r="M8" s="19"/>
      <c r="N8" s="19"/>
      <c r="O8" s="19"/>
      <c r="P8" s="19"/>
      <c r="Q8" s="19"/>
      <c r="R8" s="19"/>
      <c r="S8" s="19"/>
      <c r="T8" s="19"/>
      <c r="U8" s="19"/>
      <c r="V8" s="19"/>
      <c r="W8" s="19"/>
      <c r="X8" s="19"/>
      <c r="Y8" s="19"/>
    </row>
    <row r="9" spans="1:64" ht="18.149999999999999" customHeight="1">
      <c r="B9" s="70">
        <v>2</v>
      </c>
      <c r="C9" s="71" t="s">
        <v>498</v>
      </c>
      <c r="D9" s="72" t="s">
        <v>492</v>
      </c>
      <c r="E9" s="72" t="s">
        <v>66</v>
      </c>
      <c r="F9" s="158" t="s">
        <v>483</v>
      </c>
      <c r="G9" s="72"/>
      <c r="H9" s="132"/>
      <c r="I9" s="19"/>
      <c r="J9" s="19"/>
      <c r="K9" s="19"/>
      <c r="L9" s="19"/>
      <c r="M9" s="19"/>
      <c r="N9" s="19"/>
      <c r="O9" s="19"/>
      <c r="P9" s="19"/>
      <c r="Q9" s="19"/>
      <c r="R9" s="19"/>
      <c r="S9" s="19"/>
      <c r="T9" s="19"/>
      <c r="U9" s="19"/>
      <c r="V9" s="19"/>
      <c r="W9" s="19"/>
      <c r="X9" s="19"/>
      <c r="Y9" s="19"/>
    </row>
    <row r="10" spans="1:64" ht="18.149999999999999" customHeight="1">
      <c r="B10" s="70">
        <v>3</v>
      </c>
      <c r="C10" s="71" t="s">
        <v>499</v>
      </c>
      <c r="D10" s="72" t="s">
        <v>492</v>
      </c>
      <c r="E10" s="72" t="s">
        <v>66</v>
      </c>
      <c r="F10" s="158" t="s">
        <v>484</v>
      </c>
      <c r="G10" s="72"/>
      <c r="H10" s="132"/>
      <c r="I10" s="19"/>
      <c r="J10" s="19"/>
      <c r="K10" s="19"/>
      <c r="L10" s="19"/>
      <c r="M10" s="19"/>
      <c r="N10" s="19"/>
      <c r="O10" s="19"/>
      <c r="P10" s="19"/>
      <c r="Q10" s="19"/>
      <c r="R10" s="19"/>
      <c r="S10" s="19"/>
      <c r="T10" s="19"/>
      <c r="U10" s="19"/>
      <c r="V10" s="19"/>
      <c r="W10" s="19"/>
      <c r="X10" s="19"/>
      <c r="Y10" s="19"/>
    </row>
    <row r="11" spans="1:64" ht="18.149999999999999" customHeight="1">
      <c r="B11" s="70">
        <v>4</v>
      </c>
      <c r="C11" s="71" t="s">
        <v>500</v>
      </c>
      <c r="D11" s="72" t="s">
        <v>492</v>
      </c>
      <c r="E11" s="72" t="s">
        <v>66</v>
      </c>
      <c r="F11" s="158" t="s">
        <v>485</v>
      </c>
      <c r="G11" s="72"/>
      <c r="H11" s="132" t="s">
        <v>4</v>
      </c>
      <c r="I11" s="19"/>
      <c r="J11" s="19"/>
      <c r="K11" s="19"/>
      <c r="L11" s="19"/>
      <c r="M11" s="19"/>
      <c r="N11" s="19"/>
      <c r="O11" s="19"/>
      <c r="P11" s="19"/>
      <c r="Q11" s="19"/>
      <c r="R11" s="19"/>
      <c r="S11" s="19"/>
      <c r="T11" s="19"/>
      <c r="U11" s="19"/>
      <c r="V11" s="19"/>
      <c r="W11" s="19"/>
      <c r="X11" s="19"/>
      <c r="Y11" s="19"/>
    </row>
    <row r="12" spans="1:64" ht="18.149999999999999" customHeight="1">
      <c r="B12" s="70">
        <v>5</v>
      </c>
      <c r="C12" s="71" t="s">
        <v>501</v>
      </c>
      <c r="D12" s="72" t="s">
        <v>492</v>
      </c>
      <c r="E12" s="72" t="s">
        <v>66</v>
      </c>
      <c r="F12" s="158" t="s">
        <v>486</v>
      </c>
      <c r="G12" s="72"/>
      <c r="H12" s="132"/>
      <c r="I12" s="19"/>
      <c r="J12" s="19"/>
      <c r="K12" s="19"/>
      <c r="L12" s="19"/>
      <c r="M12" s="19"/>
      <c r="N12" s="19"/>
      <c r="O12" s="19"/>
      <c r="P12" s="19"/>
      <c r="Q12" s="19"/>
      <c r="R12" s="19"/>
      <c r="S12" s="19"/>
      <c r="T12" s="19"/>
      <c r="U12" s="19"/>
      <c r="V12" s="19"/>
      <c r="W12" s="19"/>
      <c r="X12" s="19"/>
      <c r="Y12" s="19"/>
    </row>
    <row r="13" spans="1:64" ht="18.149999999999999" customHeight="1">
      <c r="B13" s="70">
        <v>6</v>
      </c>
      <c r="C13" s="71" t="s">
        <v>502</v>
      </c>
      <c r="D13" s="72" t="s">
        <v>492</v>
      </c>
      <c r="E13" s="72" t="s">
        <v>66</v>
      </c>
      <c r="F13" s="158" t="s">
        <v>487</v>
      </c>
      <c r="G13" s="72"/>
      <c r="H13" s="132"/>
      <c r="I13" s="19"/>
      <c r="J13" s="19"/>
      <c r="K13" s="19"/>
      <c r="L13" s="19"/>
      <c r="M13" s="19"/>
      <c r="N13" s="19"/>
      <c r="O13" s="19"/>
      <c r="P13" s="19"/>
      <c r="Q13" s="19"/>
      <c r="R13" s="19"/>
      <c r="S13" s="19"/>
      <c r="T13" s="19"/>
      <c r="V13" s="19"/>
      <c r="W13" s="19"/>
      <c r="X13" s="19"/>
      <c r="Y13" s="19"/>
    </row>
    <row r="14" spans="1:64" ht="18.149999999999999" customHeight="1">
      <c r="B14" s="70">
        <v>7</v>
      </c>
      <c r="C14" s="71" t="s">
        <v>72</v>
      </c>
      <c r="D14" s="72" t="s">
        <v>492</v>
      </c>
      <c r="E14" s="72" t="s">
        <v>72</v>
      </c>
      <c r="F14" s="158" t="s">
        <v>488</v>
      </c>
      <c r="G14" s="72"/>
      <c r="H14" s="132"/>
      <c r="I14" s="19"/>
      <c r="J14" s="19"/>
      <c r="K14" s="19"/>
      <c r="L14" s="19"/>
      <c r="M14" s="19"/>
      <c r="N14" s="19"/>
      <c r="O14" s="19"/>
      <c r="P14" s="19"/>
      <c r="Q14" s="19"/>
      <c r="R14" s="19"/>
      <c r="S14" s="19"/>
      <c r="T14" s="19"/>
      <c r="U14" s="19"/>
      <c r="V14" s="19"/>
      <c r="W14" s="19"/>
      <c r="X14" s="19"/>
      <c r="Y14" s="19"/>
    </row>
    <row r="15" spans="1:64" ht="18.149999999999999" customHeight="1">
      <c r="B15" s="70">
        <v>8</v>
      </c>
      <c r="C15" s="71" t="s">
        <v>503</v>
      </c>
      <c r="D15" s="72" t="s">
        <v>492</v>
      </c>
      <c r="E15" s="72" t="s">
        <v>74</v>
      </c>
      <c r="F15" s="158" t="s">
        <v>489</v>
      </c>
      <c r="G15" s="72"/>
      <c r="H15" s="132"/>
      <c r="I15" s="19"/>
      <c r="J15" s="19"/>
      <c r="K15" s="19"/>
      <c r="L15" s="19"/>
      <c r="M15" s="19"/>
      <c r="N15" s="19"/>
      <c r="O15" s="19"/>
      <c r="P15" s="19"/>
      <c r="Q15" s="19"/>
      <c r="R15" s="19"/>
      <c r="S15" s="19"/>
      <c r="T15" s="19"/>
      <c r="U15" s="19"/>
      <c r="V15" s="19"/>
      <c r="W15" s="19"/>
      <c r="X15" s="19"/>
      <c r="Y15" s="19"/>
    </row>
    <row r="16" spans="1:64" ht="18.149999999999999" customHeight="1">
      <c r="B16" s="70">
        <v>9</v>
      </c>
      <c r="C16" s="71" t="s">
        <v>70</v>
      </c>
      <c r="D16" s="72" t="s">
        <v>492</v>
      </c>
      <c r="E16" s="72" t="s">
        <v>70</v>
      </c>
      <c r="F16" s="158" t="s">
        <v>490</v>
      </c>
      <c r="G16" s="72"/>
      <c r="H16" s="132"/>
      <c r="I16" s="19"/>
      <c r="J16" s="19"/>
      <c r="K16" s="19"/>
      <c r="L16" s="19"/>
      <c r="M16" s="19"/>
      <c r="N16" s="19"/>
      <c r="O16" s="19"/>
      <c r="P16" s="19"/>
      <c r="Q16" s="19"/>
      <c r="R16" s="19"/>
      <c r="S16" s="19"/>
      <c r="T16" s="19"/>
      <c r="U16" s="19"/>
      <c r="V16" s="19"/>
      <c r="W16" s="19"/>
      <c r="X16" s="19"/>
      <c r="Y16" s="19"/>
    </row>
    <row r="17" spans="2:25" ht="18.149999999999999" customHeight="1">
      <c r="B17" s="70">
        <v>10</v>
      </c>
      <c r="C17" s="71" t="s">
        <v>504</v>
      </c>
      <c r="D17" s="72" t="s">
        <v>492</v>
      </c>
      <c r="E17" s="72" t="s">
        <v>77</v>
      </c>
      <c r="F17" s="158" t="s">
        <v>491</v>
      </c>
      <c r="G17" s="72"/>
      <c r="H17" s="132"/>
      <c r="I17" s="19"/>
      <c r="J17" s="19"/>
      <c r="K17" s="19"/>
      <c r="L17" s="19"/>
      <c r="M17" s="19"/>
      <c r="N17" s="19"/>
      <c r="O17" s="19"/>
      <c r="P17" s="19"/>
      <c r="Q17" s="19"/>
      <c r="R17" s="19"/>
      <c r="S17" s="19"/>
      <c r="T17" s="19"/>
      <c r="U17" s="19"/>
      <c r="V17" s="19"/>
      <c r="W17" s="19"/>
      <c r="X17" s="19"/>
      <c r="Y17" s="19"/>
    </row>
    <row r="18" spans="2:25" ht="18.149999999999999" customHeight="1">
      <c r="B18" s="70">
        <v>11</v>
      </c>
      <c r="C18" s="71"/>
      <c r="D18" s="72"/>
      <c r="E18" s="72"/>
      <c r="F18" s="158"/>
      <c r="G18" s="72"/>
      <c r="H18" s="132"/>
      <c r="I18" s="19"/>
      <c r="J18" s="19"/>
      <c r="K18" s="19"/>
      <c r="L18" s="19"/>
      <c r="M18" s="19"/>
      <c r="N18" s="19"/>
      <c r="O18" s="19"/>
      <c r="P18" s="19"/>
      <c r="Q18" s="19"/>
      <c r="R18" s="19"/>
      <c r="S18" s="19"/>
      <c r="T18" s="19"/>
      <c r="U18" s="19"/>
      <c r="V18" s="19"/>
      <c r="W18" s="19"/>
      <c r="X18" s="19"/>
      <c r="Y18" s="19"/>
    </row>
    <row r="19" spans="2:25" ht="18.149999999999999" customHeight="1">
      <c r="B19" s="70">
        <v>12</v>
      </c>
      <c r="C19" s="71"/>
      <c r="D19" s="72"/>
      <c r="E19" s="72"/>
      <c r="F19" s="158"/>
      <c r="G19" s="72"/>
      <c r="H19" s="132"/>
      <c r="I19" s="19"/>
      <c r="J19" s="19"/>
      <c r="K19" s="19"/>
      <c r="L19" s="19"/>
      <c r="M19" s="19"/>
      <c r="N19" s="19"/>
      <c r="O19" s="19"/>
      <c r="P19" s="19"/>
      <c r="Q19" s="19"/>
      <c r="R19" s="19"/>
      <c r="S19" s="19"/>
      <c r="T19" s="19"/>
      <c r="U19" s="19"/>
      <c r="V19" s="19"/>
      <c r="W19" s="19"/>
      <c r="X19" s="19"/>
      <c r="Y19" s="19"/>
    </row>
    <row r="20" spans="2:25" ht="18.149999999999999" customHeight="1">
      <c r="B20" s="70">
        <v>13</v>
      </c>
      <c r="C20" s="71"/>
      <c r="D20" s="72"/>
      <c r="E20" s="72"/>
      <c r="F20" s="158"/>
      <c r="G20" s="72"/>
      <c r="H20" s="132"/>
      <c r="I20" s="19"/>
      <c r="J20" s="19"/>
      <c r="K20" s="19"/>
      <c r="L20" s="19"/>
      <c r="M20" s="19"/>
      <c r="N20" s="19"/>
      <c r="O20" s="19"/>
      <c r="P20" s="19"/>
      <c r="Q20" s="19"/>
      <c r="R20" s="19"/>
      <c r="S20" s="19"/>
      <c r="T20" s="19"/>
      <c r="U20" s="19"/>
      <c r="V20" s="19"/>
      <c r="W20" s="19"/>
      <c r="X20" s="19"/>
      <c r="Y20" s="19"/>
    </row>
    <row r="21" spans="2:25" ht="18.149999999999999" customHeight="1">
      <c r="B21" s="70">
        <v>14</v>
      </c>
      <c r="C21" s="71"/>
      <c r="D21" s="72"/>
      <c r="E21" s="72"/>
      <c r="F21" s="158"/>
      <c r="G21" s="72"/>
      <c r="H21" s="132"/>
      <c r="I21" s="19"/>
      <c r="J21" s="19"/>
      <c r="K21" s="19"/>
      <c r="L21" s="19"/>
      <c r="M21" s="19"/>
      <c r="N21" s="19"/>
      <c r="O21" s="19"/>
      <c r="P21" s="19"/>
      <c r="Q21" s="19"/>
      <c r="R21" s="19"/>
      <c r="S21" s="19"/>
      <c r="T21" s="19"/>
      <c r="U21" s="19"/>
      <c r="V21" s="19"/>
      <c r="W21" s="19"/>
      <c r="X21" s="19"/>
      <c r="Y21" s="19"/>
    </row>
    <row r="22" spans="2:25" ht="18.149999999999999" customHeight="1">
      <c r="B22" s="70">
        <v>15</v>
      </c>
      <c r="C22" s="71"/>
      <c r="D22" s="72"/>
      <c r="E22" s="72"/>
      <c r="F22" s="158"/>
      <c r="G22" s="72"/>
      <c r="H22" s="132"/>
      <c r="I22" s="19"/>
      <c r="J22" s="19"/>
      <c r="K22" s="19"/>
      <c r="L22" s="19"/>
      <c r="M22" s="19"/>
      <c r="N22" s="19"/>
      <c r="O22" s="19"/>
      <c r="P22" s="19"/>
      <c r="Q22" s="19"/>
      <c r="R22" s="19"/>
      <c r="S22" s="19"/>
      <c r="T22" s="19"/>
      <c r="U22" s="19"/>
      <c r="V22" s="19"/>
      <c r="W22" s="19"/>
      <c r="X22" s="19"/>
      <c r="Y22" s="19"/>
    </row>
    <row r="23" spans="2:25" ht="18.149999999999999"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149999999999999"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149999999999999"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149999999999999"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149999999999999"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149999999999999"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149999999999999"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149999999999999"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149999999999999"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149999999999999"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149999999999999"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149999999999999"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149999999999999"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149999999999999"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149999999999999"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149999999999999"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149999999999999"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149999999999999"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149999999999999"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149999999999999"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149999999999999" customHeight="1">
      <c r="B45" s="74" t="s">
        <v>311</v>
      </c>
      <c r="C45" s="75"/>
      <c r="D45" s="76">
        <f>COUNTA(F8:F42)</f>
        <v>10</v>
      </c>
      <c r="F45" s="19"/>
      <c r="G45" s="19"/>
      <c r="H45" s="19"/>
      <c r="I45" s="19"/>
      <c r="J45" s="19"/>
      <c r="K45" s="19"/>
      <c r="L45" s="19"/>
      <c r="M45" s="19"/>
      <c r="N45" s="19"/>
      <c r="O45" s="19"/>
      <c r="P45" s="19"/>
      <c r="Q45" s="19"/>
      <c r="R45" s="19"/>
      <c r="S45" s="19"/>
      <c r="T45" s="19"/>
      <c r="U45" s="19"/>
      <c r="V45" s="19"/>
      <c r="W45" s="19"/>
      <c r="X45" s="19"/>
    </row>
    <row r="46" spans="2:25" ht="18.149999999999999"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149999999999999" customHeight="1">
      <c r="B47" s="74" t="s">
        <v>312</v>
      </c>
      <c r="C47" s="75"/>
      <c r="D47" s="76">
        <f>D45-D49</f>
        <v>5</v>
      </c>
      <c r="E47" s="19"/>
      <c r="F47" s="19"/>
      <c r="G47" s="19"/>
      <c r="H47" s="19"/>
      <c r="I47" s="19"/>
      <c r="J47" s="19"/>
      <c r="K47" s="19"/>
      <c r="L47" s="19"/>
      <c r="M47" s="19"/>
      <c r="N47" s="19"/>
      <c r="O47" s="19"/>
      <c r="P47" s="19"/>
      <c r="Q47" s="19"/>
      <c r="R47" s="19"/>
      <c r="S47" s="19"/>
      <c r="T47" s="19"/>
      <c r="U47" s="19"/>
      <c r="V47" s="19"/>
      <c r="W47" s="19"/>
      <c r="X47" s="19"/>
    </row>
    <row r="48" spans="2:25" ht="16.649999999999999"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5" customHeight="1">
      <c r="B49" s="74" t="s">
        <v>313</v>
      </c>
      <c r="C49" s="77"/>
      <c r="D49" s="76">
        <f>COUNTIF(E8:E42,"Aleatoria")</f>
        <v>5</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21</v>
      </c>
      <c r="C52" s="77"/>
      <c r="D52" s="63" t="str">
        <f>IF(AND(D49&gt;=0.1*D47,D49&gt;0, COUNTIF(E8:E42,"Página inicio"),   COUNTIF(E8:E42,"Declaración accesibilidad"),  COUNTA(C8:C42)=COUNTA(D8:D42),  COUNTA(C8:C42)=COUNTA(E8:E42),   COUNTA(C8:C42)=COUNTA(F8:F42), COUNTA(C8:C42)=COUNTA(G8:G42)    ),"SI","NO")</f>
        <v>NO</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 zoomScaleNormal="100" workbookViewId="0">
      <selection activeCell="C28" sqref="C28"/>
    </sheetView>
  </sheetViews>
  <sheetFormatPr baseColWidth="10" defaultColWidth="11.54296875" defaultRowHeight="12.5"/>
  <cols>
    <col min="1" max="1" width="6.36328125" style="113" customWidth="1"/>
    <col min="2" max="2" width="16.08984375" style="14" customWidth="1"/>
    <col min="3" max="3" width="64.08984375" style="14" customWidth="1"/>
    <col min="4" max="4" width="18.36328125" style="113" customWidth="1"/>
    <col min="5" max="5" width="6.3632812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5.453125" style="14" customWidth="1"/>
    <col min="14" max="14" width="12.36328125" style="14" customWidth="1"/>
    <col min="15"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278</v>
      </c>
      <c r="C3" s="28"/>
      <c r="D3" s="106"/>
      <c r="E3" s="107"/>
    </row>
    <row r="4" spans="1:64" ht="26.15"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8.899999999999999" customHeight="1">
      <c r="B8" s="111" t="s">
        <v>372</v>
      </c>
      <c r="C8" s="19"/>
      <c r="D8" s="107"/>
      <c r="E8" s="107"/>
      <c r="F8" s="19"/>
      <c r="G8" s="19"/>
      <c r="H8" s="19"/>
      <c r="I8" s="19"/>
      <c r="J8" s="19"/>
      <c r="K8" s="19"/>
      <c r="L8" s="19"/>
      <c r="M8" s="19"/>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30</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Servicios e información</v>
      </c>
      <c r="C20" s="220"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Cultura y turismo</v>
      </c>
      <c r="C21" s="220"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Inversión y empresa</v>
      </c>
      <c r="C22" s="220"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Acción de gobierno</v>
      </c>
      <c r="C23" s="220"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Video</v>
      </c>
      <c r="C24" s="220"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Contacto</v>
      </c>
      <c r="C25" s="220"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Aviso Legal</v>
      </c>
      <c r="C26" s="220"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Mapa web</v>
      </c>
      <c r="C27" s="220"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Accesibilidad</v>
      </c>
      <c r="C28" s="220"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220" t="str" cm="1">
        <f t="array" ref="B29">IFERROR(INDEX('03.Muestra'!$C$8:$C$42,SMALL(IF("Página Web"='03.Muestra'!$D$8:$D$42,ROW('03.Muestra'!$C$8:$C$42)-MIN(ROW('03.Muestra'!$D$8:$D$42))+1,""),ROW()-18)),"")</f>
        <v/>
      </c>
      <c r="C29" s="220"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220" t="str" cm="1">
        <f t="array" ref="B30">IFERROR(INDEX('03.Muestra'!$C$8:$C$42,SMALL(IF("Página Web"='03.Muestra'!$D$8:$D$42,ROW('03.Muestra'!$C$8:$C$42)-MIN(ROW('03.Muestra'!$D$8:$D$42))+1,""),ROW()-18)),"")</f>
        <v/>
      </c>
      <c r="C30" s="220"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220" t="str" cm="1">
        <f t="array" ref="B31">IFERROR(INDEX('03.Muestra'!$C$8:$C$42,SMALL(IF("Página Web"='03.Muestra'!$D$8:$D$42,ROW('03.Muestra'!$C$8:$C$42)-MIN(ROW('03.Muestra'!$D$8:$D$42))+1,""),ROW()-18)),"")</f>
        <v/>
      </c>
      <c r="C31" s="220"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220" t="str" cm="1">
        <f t="array" ref="B32">IFERROR(INDEX('03.Muestra'!$C$8:$C$42,SMALL(IF("Página Web"='03.Muestra'!$D$8:$D$42,ROW('03.Muestra'!$C$8:$C$42)-MIN(ROW('03.Muestra'!$D$8:$D$42))+1,""),ROW()-18)),"")</f>
        <v/>
      </c>
      <c r="C32" s="220"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220" t="str" cm="1">
        <f t="array" ref="B33">IFERROR(INDEX('03.Muestra'!$C$8:$C$42,SMALL(IF("Página Web"='03.Muestra'!$D$8:$D$42,ROW('03.Muestra'!$C$8:$C$42)-MIN(ROW('03.Muestra'!$D$8:$D$42))+1,""),ROW()-18)),"")</f>
        <v/>
      </c>
      <c r="C33" s="220"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Servicios e información</v>
      </c>
      <c r="C58" s="221"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Cultura y turismo</v>
      </c>
      <c r="C59" s="221" t="str" cm="1">
        <f t="array" ref="C59">IFERROR(INDEX('03.Muestra'!$F$8:$F$42,SMALL(IF("Página Web"='03.Muestra'!$D$8:$D$42,ROW('03.Muestra'!$F$8:$F$42)-MIN(ROW('03.Muestra'!$D$8:$D$42))+1,""),ROW()-56)),"")</f>
        <v>https://www.comunidad.madrid/cultura</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Inversión y empresa</v>
      </c>
      <c r="C60" s="221" t="str" cm="1">
        <f t="array" ref="C60">IFERROR(INDEX('03.Muestra'!$F$8:$F$42,SMALL(IF("Página Web"='03.Muestra'!$D$8:$D$42,ROW('03.Muestra'!$F$8:$F$42)-MIN(ROW('03.Muestra'!$D$8:$D$42))+1,""),ROW()-56)),"")</f>
        <v>https://www.comunidad.madrid/inversion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Acción de gobierno</v>
      </c>
      <c r="C61" s="221" t="str" cm="1">
        <f t="array" ref="C61">IFERROR(INDEX('03.Muestra'!$F$8:$F$42,SMALL(IF("Página Web"='03.Muestra'!$D$8:$D$42,ROW('03.Muestra'!$F$8:$F$42)-MIN(ROW('03.Muestra'!$D$8:$D$42))+1,""),ROW()-56)),"")</f>
        <v>https://www.comunidad.madrid/gobierno</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Video</v>
      </c>
      <c r="C62" s="221"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Contacto</v>
      </c>
      <c r="C63" s="221"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Aviso Legal</v>
      </c>
      <c r="C64" s="221"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Mapa web</v>
      </c>
      <c r="C65" s="221"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Accesibilidad</v>
      </c>
      <c r="C66" s="221"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t="str" cm="1">
        <f t="array" ref="A67">IFERROR(INDEX('03.Muestra'!$B$8:$B$42,SMALL(IF("Página Web"='03.Muestra'!$D$8:$D$42,ROW('03.Muestra'!$B$8:$B$42)-MIN(ROW('03.Muestra'!$D$8:$D$42))+1,""),ROW()-56)),"")</f>
        <v/>
      </c>
      <c r="B67" s="221" t="str" cm="1">
        <f t="array" ref="B67">IFERROR(INDEX('03.Muestra'!$C$8:$C$42,SMALL(IF("Página Web"='03.Muestra'!$D$8:$D$42,ROW('03.Muestra'!$C$8:$C$42)-MIN(ROW('03.Muestra'!$D$8:$D$42))+1,""),ROW()-56)),"")</f>
        <v/>
      </c>
      <c r="C67" s="221"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t="str" cm="1">
        <f t="array" ref="A68">IFERROR(INDEX('03.Muestra'!$B$8:$B$42,SMALL(IF("Página Web"='03.Muestra'!$D$8:$D$42,ROW('03.Muestra'!$B$8:$B$42)-MIN(ROW('03.Muestra'!$D$8:$D$42))+1,""),ROW()-56)),"")</f>
        <v/>
      </c>
      <c r="B68" s="221" t="str" cm="1">
        <f t="array" ref="B68">IFERROR(INDEX('03.Muestra'!$C$8:$C$42,SMALL(IF("Página Web"='03.Muestra'!$D$8:$D$42,ROW('03.Muestra'!$C$8:$C$42)-MIN(ROW('03.Muestra'!$D$8:$D$42))+1,""),ROW()-56)),"")</f>
        <v/>
      </c>
      <c r="C68" s="221" t="str" cm="1">
        <f t="array" ref="C68">IFERROR(INDEX('03.Muestra'!$F$8:$F$42,SMALL(IF("Página Web"='03.Muestra'!$D$8:$D$42,ROW('03.Muestra'!$F$8:$F$42)-MIN(ROW('03.Muestra'!$D$8:$D$42))+1,""),ROW()-56)),"")</f>
        <v/>
      </c>
      <c r="D68" s="130" t="str">
        <f t="shared" si="3"/>
        <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t="str" cm="1">
        <f t="array" ref="A69">IFERROR(INDEX('03.Muestra'!$B$8:$B$42,SMALL(IF("Página Web"='03.Muestra'!$D$8:$D$42,ROW('03.Muestra'!$B$8:$B$42)-MIN(ROW('03.Muestra'!$D$8:$D$42))+1,""),ROW()-56)),"")</f>
        <v/>
      </c>
      <c r="B69" s="221" t="str" cm="1">
        <f t="array" ref="B69">IFERROR(INDEX('03.Muestra'!$C$8:$C$42,SMALL(IF("Página Web"='03.Muestra'!$D$8:$D$42,ROW('03.Muestra'!$C$8:$C$42)-MIN(ROW('03.Muestra'!$D$8:$D$42))+1,""),ROW()-56)),"")</f>
        <v/>
      </c>
      <c r="C69" s="221" t="str" cm="1">
        <f t="array" ref="C69">IFERROR(INDEX('03.Muestra'!$F$8:$F$42,SMALL(IF("Página Web"='03.Muestra'!$D$8:$D$42,ROW('03.Muestra'!$F$8:$F$42)-MIN(ROW('03.Muestra'!$D$8:$D$42))+1,""),ROW()-56)),"")</f>
        <v/>
      </c>
      <c r="D69" s="130" t="str">
        <f t="shared" si="3"/>
        <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t="str" cm="1">
        <f t="array" ref="A70">IFERROR(INDEX('03.Muestra'!$B$8:$B$42,SMALL(IF("Página Web"='03.Muestra'!$D$8:$D$42,ROW('03.Muestra'!$B$8:$B$42)-MIN(ROW('03.Muestra'!$D$8:$D$42))+1,""),ROW()-56)),"")</f>
        <v/>
      </c>
      <c r="B70" s="221" t="str" cm="1">
        <f t="array" ref="B70">IFERROR(INDEX('03.Muestra'!$C$8:$C$42,SMALL(IF("Página Web"='03.Muestra'!$D$8:$D$42,ROW('03.Muestra'!$C$8:$C$42)-MIN(ROW('03.Muestra'!$D$8:$D$42))+1,""),ROW()-56)),"")</f>
        <v/>
      </c>
      <c r="C70" s="221" t="str" cm="1">
        <f t="array" ref="C70">IFERROR(INDEX('03.Muestra'!$F$8:$F$42,SMALL(IF("Página Web"='03.Muestra'!$D$8:$D$42,ROW('03.Muestra'!$F$8:$F$42)-MIN(ROW('03.Muestra'!$D$8:$D$42))+1,""),ROW()-56)),"")</f>
        <v/>
      </c>
      <c r="D70" s="130" t="str">
        <f t="shared" si="3"/>
        <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t="str" cm="1">
        <f t="array" ref="A71">IFERROR(INDEX('03.Muestra'!$B$8:$B$42,SMALL(IF("Página Web"='03.Muestra'!$D$8:$D$42,ROW('03.Muestra'!$B$8:$B$42)-MIN(ROW('03.Muestra'!$D$8:$D$42))+1,""),ROW()-56)),"")</f>
        <v/>
      </c>
      <c r="B71" s="221" t="str" cm="1">
        <f t="array" ref="B71">IFERROR(INDEX('03.Muestra'!$C$8:$C$42,SMALL(IF("Página Web"='03.Muestra'!$D$8:$D$42,ROW('03.Muestra'!$C$8:$C$42)-MIN(ROW('03.Muestra'!$D$8:$D$42))+1,""),ROW()-56)),"")</f>
        <v/>
      </c>
      <c r="C71" s="221" t="str" cm="1">
        <f t="array" ref="C71">IFERROR(INDEX('03.Muestra'!$F$8:$F$42,SMALL(IF("Página Web"='03.Muestra'!$D$8:$D$42,ROW('03.Muestra'!$F$8:$F$42)-MIN(ROW('03.Muestra'!$D$8:$D$42))+1,""),ROW()-56)),"")</f>
        <v/>
      </c>
      <c r="D71" s="130" t="str">
        <f t="shared" si="3"/>
        <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si="3"/>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Servicios e información</v>
      </c>
      <c r="C96" s="221"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Cultura y turismo</v>
      </c>
      <c r="C97" s="221" t="str" cm="1">
        <f t="array" ref="C97">IFERROR(INDEX('03.Muestra'!$F$8:$F$42,SMALL(IF("Página Web"='03.Muestra'!$D$8:$D$42,ROW('03.Muestra'!$F$8:$F$42)-MIN(ROW('03.Muestra'!$D$8:$D$42))+1,""),ROW()-94)),"")</f>
        <v>https://www.comunidad.madrid/cultura</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Inversión y empresa</v>
      </c>
      <c r="C98" s="221" t="str" cm="1">
        <f t="array" ref="C98">IFERROR(INDEX('03.Muestra'!$F$8:$F$42,SMALL(IF("Página Web"='03.Muestra'!$D$8:$D$42,ROW('03.Muestra'!$F$8:$F$42)-MIN(ROW('03.Muestra'!$D$8:$D$42))+1,""),ROW()-94)),"")</f>
        <v>https://www.comunidad.madrid/inversion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Acción de gobierno</v>
      </c>
      <c r="C99" s="221" t="str" cm="1">
        <f t="array" ref="C99">IFERROR(INDEX('03.Muestra'!$F$8:$F$42,SMALL(IF("Página Web"='03.Muestra'!$D$8:$D$42,ROW('03.Muestra'!$F$8:$F$42)-MIN(ROW('03.Muestra'!$D$8:$D$42))+1,""),ROW()-94)),"")</f>
        <v>https://www.comunidad.madrid/gobierno</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Video</v>
      </c>
      <c r="C100" s="221"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Contacto</v>
      </c>
      <c r="C101" s="221"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Aviso Legal</v>
      </c>
      <c r="C102" s="221"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Mapa web</v>
      </c>
      <c r="C103" s="221"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Accesibilidad</v>
      </c>
      <c r="C104" s="221"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t="str" cm="1">
        <f t="array" ref="A105">IFERROR(INDEX('03.Muestra'!$B$8:$B$42,SMALL(IF("Página Web"='03.Muestra'!$D$8:$D$42,ROW('03.Muestra'!$B$8:$B$42)-MIN(ROW('03.Muestra'!$D$8:$D$42))+1,""),ROW()-94)),"")</f>
        <v/>
      </c>
      <c r="B105" s="221" t="str" cm="1">
        <f t="array" ref="B105">IFERROR(INDEX('03.Muestra'!$C$8:$C$42,SMALL(IF("Página Web"='03.Muestra'!$D$8:$D$42,ROW('03.Muestra'!$C$8:$C$42)-MIN(ROW('03.Muestra'!$D$8:$D$42))+1,""),ROW()-94)),"")</f>
        <v/>
      </c>
      <c r="C105" s="221"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t="str" cm="1">
        <f t="array" ref="A106">IFERROR(INDEX('03.Muestra'!$B$8:$B$42,SMALL(IF("Página Web"='03.Muestra'!$D$8:$D$42,ROW('03.Muestra'!$B$8:$B$42)-MIN(ROW('03.Muestra'!$D$8:$D$42))+1,""),ROW()-94)),"")</f>
        <v/>
      </c>
      <c r="B106" s="221" t="str" cm="1">
        <f t="array" ref="B106">IFERROR(INDEX('03.Muestra'!$C$8:$C$42,SMALL(IF("Página Web"='03.Muestra'!$D$8:$D$42,ROW('03.Muestra'!$C$8:$C$42)-MIN(ROW('03.Muestra'!$D$8:$D$42))+1,""),ROW()-94)),"")</f>
        <v/>
      </c>
      <c r="C106" s="221" t="str" cm="1">
        <f t="array" ref="C106">IFERROR(INDEX('03.Muestra'!$F$8:$F$42,SMALL(IF("Página Web"='03.Muestra'!$D$8:$D$42,ROW('03.Muestra'!$F$8:$F$42)-MIN(ROW('03.Muestra'!$D$8:$D$42))+1,""),ROW()-94)),"")</f>
        <v/>
      </c>
      <c r="D106" s="130" t="str">
        <f t="shared" si="5"/>
        <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t="str" cm="1">
        <f t="array" ref="A107">IFERROR(INDEX('03.Muestra'!$B$8:$B$42,SMALL(IF("Página Web"='03.Muestra'!$D$8:$D$42,ROW('03.Muestra'!$B$8:$B$42)-MIN(ROW('03.Muestra'!$D$8:$D$42))+1,""),ROW()-94)),"")</f>
        <v/>
      </c>
      <c r="B107" s="221" t="str" cm="1">
        <f t="array" ref="B107">IFERROR(INDEX('03.Muestra'!$C$8:$C$42,SMALL(IF("Página Web"='03.Muestra'!$D$8:$D$42,ROW('03.Muestra'!$C$8:$C$42)-MIN(ROW('03.Muestra'!$D$8:$D$42))+1,""),ROW()-94)),"")</f>
        <v/>
      </c>
      <c r="C107" s="221" t="str" cm="1">
        <f t="array" ref="C107">IFERROR(INDEX('03.Muestra'!$F$8:$F$42,SMALL(IF("Página Web"='03.Muestra'!$D$8:$D$42,ROW('03.Muestra'!$F$8:$F$42)-MIN(ROW('03.Muestra'!$D$8:$D$42))+1,""),ROW()-94)),"")</f>
        <v/>
      </c>
      <c r="D107" s="130" t="str">
        <f t="shared" si="5"/>
        <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t="str" cm="1">
        <f t="array" ref="A108">IFERROR(INDEX('03.Muestra'!$B$8:$B$42,SMALL(IF("Página Web"='03.Muestra'!$D$8:$D$42,ROW('03.Muestra'!$B$8:$B$42)-MIN(ROW('03.Muestra'!$D$8:$D$42))+1,""),ROW()-94)),"")</f>
        <v/>
      </c>
      <c r="B108" s="221" t="str" cm="1">
        <f t="array" ref="B108">IFERROR(INDEX('03.Muestra'!$C$8:$C$42,SMALL(IF("Página Web"='03.Muestra'!$D$8:$D$42,ROW('03.Muestra'!$C$8:$C$42)-MIN(ROW('03.Muestra'!$D$8:$D$42))+1,""),ROW()-94)),"")</f>
        <v/>
      </c>
      <c r="C108" s="221" t="str" cm="1">
        <f t="array" ref="C108">IFERROR(INDEX('03.Muestra'!$F$8:$F$42,SMALL(IF("Página Web"='03.Muestra'!$D$8:$D$42,ROW('03.Muestra'!$F$8:$F$42)-MIN(ROW('03.Muestra'!$D$8:$D$42))+1,""),ROW()-94)),"")</f>
        <v/>
      </c>
      <c r="D108" s="130" t="str">
        <f t="shared" si="5"/>
        <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t="str" cm="1">
        <f t="array" ref="A109">IFERROR(INDEX('03.Muestra'!$B$8:$B$42,SMALL(IF("Página Web"='03.Muestra'!$D$8:$D$42,ROW('03.Muestra'!$B$8:$B$42)-MIN(ROW('03.Muestra'!$D$8:$D$42))+1,""),ROW()-94)),"")</f>
        <v/>
      </c>
      <c r="B109" s="221" t="str" cm="1">
        <f t="array" ref="B109">IFERROR(INDEX('03.Muestra'!$C$8:$C$42,SMALL(IF("Página Web"='03.Muestra'!$D$8:$D$42,ROW('03.Muestra'!$C$8:$C$42)-MIN(ROW('03.Muestra'!$D$8:$D$42))+1,""),ROW()-94)),"")</f>
        <v/>
      </c>
      <c r="C109" s="221" t="str" cm="1">
        <f t="array" ref="C109">IFERROR(INDEX('03.Muestra'!$F$8:$F$42,SMALL(IF("Página Web"='03.Muestra'!$D$8:$D$42,ROW('03.Muestra'!$F$8:$F$42)-MIN(ROW('03.Muestra'!$D$8:$D$42))+1,""),ROW()-94)),"")</f>
        <v/>
      </c>
      <c r="D109" s="130" t="str">
        <f t="shared" si="5"/>
        <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si="5"/>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Normal="100" workbookViewId="0">
      <selection activeCell="C717" sqref="C717"/>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358</v>
      </c>
      <c r="C3" s="28"/>
      <c r="D3" s="106"/>
      <c r="E3" s="107"/>
    </row>
    <row r="4" spans="1:64" ht="26.15"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190</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10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10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10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Video</v>
      </c>
      <c r="C366" s="114" t="str" cm="1">
        <f t="array" ref="C366">IFERROR(INDEX('03.Muestra'!$F$8:$F$42,SMALL(IF("Página Web"='03.Muestra'!$D$8:$D$42,ROW('03.Muestra'!$F$8:$F$42)-MIN(ROW('03.Muestra'!$D$8:$D$42))+1,""),ROW()-360)),"")</f>
        <v>https://www.comunidad.madrid/noticias/2023/12/18/diaz-ayuso-reconoce-35-personas-han-realizado-actuaciones-extraordinarias-ayuda-servicio-metro-este-ano-representan-valores-madrid</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Contacto</v>
      </c>
      <c r="C367" s="114" t="str" cm="1">
        <f t="array" ref="C367">IFERROR(INDEX('03.Muestra'!$F$8:$F$42,SMALL(IF("Página Web"='03.Muestra'!$D$8:$D$42,ROW('03.Muestra'!$F$8:$F$42)-MIN(ROW('03.Muestra'!$D$8:$D$42))+1,""),ROW()-360)),"")</f>
        <v>https://www.comunidad.madrid/servicios/atencion-ciudadano</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Aviso Legal</v>
      </c>
      <c r="C368" s="114" t="str" cm="1">
        <f t="array" ref="C368">IFERROR(INDEX('03.Muestra'!$F$8:$F$42,SMALL(IF("Página Web"='03.Muestra'!$D$8:$D$42,ROW('03.Muestra'!$F$8:$F$42)-MIN(ROW('03.Muestra'!$D$8:$D$42))+1,""),ROW()-360)),"")</f>
        <v>https://www.comunidad.madrid/servicios/informacion-atencion-ciudadano/aviso-legal-privacidad</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Mapa web</v>
      </c>
      <c r="C369" s="114" t="str" cm="1">
        <f t="array" ref="C369">IFERROR(INDEX('03.Muestra'!$F$8:$F$42,SMALL(IF("Página Web"='03.Muestra'!$D$8:$D$42,ROW('03.Muestra'!$F$8:$F$42)-MIN(ROW('03.Muestra'!$D$8:$D$42))+1,""),ROW()-360)),"")</f>
        <v>https://www.comunidad.madrid/sitemap</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Accesibilidad</v>
      </c>
      <c r="C370" s="114" t="str" cm="1">
        <f t="array" ref="C370">IFERROR(INDEX('03.Muestra'!$F$8:$F$42,SMALL(IF("Página Web"='03.Muestra'!$D$8:$D$42,ROW('03.Muestra'!$F$8:$F$42)-MIN(ROW('03.Muestra'!$D$8:$D$42))+1,""),ROW()-360)),"")</f>
        <v>https://www.comunidad.madrid/servicios/informacion-atencion-ciudadano/accesibilidad-web</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ref="D371:D395" si="19">IF(AND(B371&lt;&gt;"",C371&lt;&gt;""),"N/T","")</f>
        <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Video</v>
      </c>
      <c r="C404" s="114" t="str" cm="1">
        <f t="array" ref="C404">IFERROR(INDEX('03.Muestra'!$F$8:$F$42,SMALL(IF("Página Web"='03.Muestra'!$D$8:$D$42,ROW('03.Muestra'!$F$8:$F$42)-MIN(ROW('03.Muestra'!$D$8:$D$42))+1,""),ROW()-398)),"")</f>
        <v>https://www.comunidad.madrid/noticias/2023/12/18/diaz-ayuso-reconoce-35-personas-han-realizado-actuaciones-extraordinarias-ayuda-servicio-metro-este-ano-representan-valores-madrid</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Contacto</v>
      </c>
      <c r="C405" s="114" t="str" cm="1">
        <f t="array" ref="C405">IFERROR(INDEX('03.Muestra'!$F$8:$F$42,SMALL(IF("Página Web"='03.Muestra'!$D$8:$D$42,ROW('03.Muestra'!$F$8:$F$42)-MIN(ROW('03.Muestra'!$D$8:$D$42))+1,""),ROW()-398)),"")</f>
        <v>https://www.comunidad.madrid/servicios/atencion-ciudadano</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Aviso Legal</v>
      </c>
      <c r="C406" s="114" t="str" cm="1">
        <f t="array" ref="C406">IFERROR(INDEX('03.Muestra'!$F$8:$F$42,SMALL(IF("Página Web"='03.Muestra'!$D$8:$D$42,ROW('03.Muestra'!$F$8:$F$42)-MIN(ROW('03.Muestra'!$D$8:$D$42))+1,""),ROW()-398)),"")</f>
        <v>https://www.comunidad.madrid/servicios/informacion-atencion-ciudadano/aviso-legal-privacidad</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Mapa web</v>
      </c>
      <c r="C407" s="114" t="str" cm="1">
        <f t="array" ref="C407">IFERROR(INDEX('03.Muestra'!$F$8:$F$42,SMALL(IF("Página Web"='03.Muestra'!$D$8:$D$42,ROW('03.Muestra'!$F$8:$F$42)-MIN(ROW('03.Muestra'!$D$8:$D$42))+1,""),ROW()-398)),"")</f>
        <v>https://www.comunidad.madrid/sitemap</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Accesibilidad</v>
      </c>
      <c r="C408" s="114" t="str" cm="1">
        <f t="array" ref="C408">IFERROR(INDEX('03.Muestra'!$F$8:$F$42,SMALL(IF("Página Web"='03.Muestra'!$D$8:$D$42,ROW('03.Muestra'!$F$8:$F$42)-MIN(ROW('03.Muestra'!$D$8:$D$42))+1,""),ROW()-398)),"")</f>
        <v>https://www.comunidad.madrid/servicios/informacion-atencion-ciudadano/accesibilidad-web</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ref="D409:D433" si="21">IF(AND(B409&lt;&gt;"",C409&lt;&gt;""),"N/T","")</f>
        <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Video</v>
      </c>
      <c r="C442" s="114" t="str" cm="1">
        <f t="array" ref="C442">IFERROR(INDEX('03.Muestra'!$F$8:$F$42,SMALL(IF("Página Web"='03.Muestra'!$D$8:$D$42,ROW('03.Muestra'!$F$8:$F$42)-MIN(ROW('03.Muestra'!$D$8:$D$42))+1,""),ROW()-436)),"")</f>
        <v>https://www.comunidad.madrid/noticias/2023/12/18/diaz-ayuso-reconoce-35-personas-han-realizado-actuaciones-extraordinarias-ayuda-servicio-metro-este-ano-representan-valores-madrid</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Contacto</v>
      </c>
      <c r="C443" s="114" t="str" cm="1">
        <f t="array" ref="C443">IFERROR(INDEX('03.Muestra'!$F$8:$F$42,SMALL(IF("Página Web"='03.Muestra'!$D$8:$D$42,ROW('03.Muestra'!$F$8:$F$42)-MIN(ROW('03.Muestra'!$D$8:$D$42))+1,""),ROW()-436)),"")</f>
        <v>https://www.comunidad.madrid/servicios/atencion-ciudadano</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Aviso Legal</v>
      </c>
      <c r="C444" s="114" t="str" cm="1">
        <f t="array" ref="C444">IFERROR(INDEX('03.Muestra'!$F$8:$F$42,SMALL(IF("Página Web"='03.Muestra'!$D$8:$D$42,ROW('03.Muestra'!$F$8:$F$42)-MIN(ROW('03.Muestra'!$D$8:$D$42))+1,""),ROW()-436)),"")</f>
        <v>https://www.comunidad.madrid/servicios/informacion-atencion-ciudadano/aviso-legal-privacidad</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Mapa web</v>
      </c>
      <c r="C445" s="114" t="str" cm="1">
        <f t="array" ref="C445">IFERROR(INDEX('03.Muestra'!$F$8:$F$42,SMALL(IF("Página Web"='03.Muestra'!$D$8:$D$42,ROW('03.Muestra'!$F$8:$F$42)-MIN(ROW('03.Muestra'!$D$8:$D$42))+1,""),ROW()-436)),"")</f>
        <v>https://www.comunidad.madrid/sitemap</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Accesibilidad</v>
      </c>
      <c r="C446" s="114" t="str" cm="1">
        <f t="array" ref="C446">IFERROR(INDEX('03.Muestra'!$F$8:$F$42,SMALL(IF("Página Web"='03.Muestra'!$D$8:$D$42,ROW('03.Muestra'!$F$8:$F$42)-MIN(ROW('03.Muestra'!$D$8:$D$42))+1,""),ROW()-436)),"")</f>
        <v>https://www.comunidad.madrid/servicios/informacion-atencion-ciudadano/accesibilidad-web</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ref="D447:D471" si="23">IF(AND(B447&lt;&gt;"",C447&lt;&gt;""),"N/T","")</f>
        <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Video</v>
      </c>
      <c r="C480" s="114" t="str" cm="1">
        <f t="array" ref="C480">IFERROR(INDEX('03.Muestra'!$F$8:$F$42,SMALL(IF("Página Web"='03.Muestra'!$D$8:$D$42,ROW('03.Muestra'!$F$8:$F$42)-MIN(ROW('03.Muestra'!$D$8:$D$42))+1,""),ROW()-474)),"")</f>
        <v>https://www.comunidad.madrid/noticias/2023/12/18/diaz-ayuso-reconoce-35-personas-han-realizado-actuaciones-extraordinarias-ayuda-servicio-metro-este-ano-representan-valores-madrid</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Contacto</v>
      </c>
      <c r="C481" s="114" t="str" cm="1">
        <f t="array" ref="C481">IFERROR(INDEX('03.Muestra'!$F$8:$F$42,SMALL(IF("Página Web"='03.Muestra'!$D$8:$D$42,ROW('03.Muestra'!$F$8:$F$42)-MIN(ROW('03.Muestra'!$D$8:$D$42))+1,""),ROW()-474)),"")</f>
        <v>https://www.comunidad.madrid/servicios/atencion-ciudadano</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Aviso Legal</v>
      </c>
      <c r="C482" s="114" t="str" cm="1">
        <f t="array" ref="C482">IFERROR(INDEX('03.Muestra'!$F$8:$F$42,SMALL(IF("Página Web"='03.Muestra'!$D$8:$D$42,ROW('03.Muestra'!$F$8:$F$42)-MIN(ROW('03.Muestra'!$D$8:$D$42))+1,""),ROW()-474)),"")</f>
        <v>https://www.comunidad.madrid/servicios/informacion-atencion-ciudadano/aviso-legal-privacidad</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Mapa web</v>
      </c>
      <c r="C483" s="114" t="str" cm="1">
        <f t="array" ref="C483">IFERROR(INDEX('03.Muestra'!$F$8:$F$42,SMALL(IF("Página Web"='03.Muestra'!$D$8:$D$42,ROW('03.Muestra'!$F$8:$F$42)-MIN(ROW('03.Muestra'!$D$8:$D$42))+1,""),ROW()-474)),"")</f>
        <v>https://www.comunidad.madrid/sitemap</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Accesibilidad</v>
      </c>
      <c r="C484" s="114" t="str" cm="1">
        <f t="array" ref="C484">IFERROR(INDEX('03.Muestra'!$F$8:$F$42,SMALL(IF("Página Web"='03.Muestra'!$D$8:$D$42,ROW('03.Muestra'!$F$8:$F$42)-MIN(ROW('03.Muestra'!$D$8:$D$42))+1,""),ROW()-474)),"")</f>
        <v>https://www.comunidad.madrid/servicios/informacion-atencion-ciudadano/accesibilidad-web</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ref="D485:D509" si="25">IF(AND(B485&lt;&gt;"",C485&lt;&gt;""),"N/T","")</f>
        <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Video</v>
      </c>
      <c r="C518" s="114" t="str" cm="1">
        <f t="array" ref="C518">IFERROR(INDEX('03.Muestra'!$F$8:$F$42,SMALL(IF("Página Web"='03.Muestra'!$D$8:$D$42,ROW('03.Muestra'!$F$8:$F$42)-MIN(ROW('03.Muestra'!$D$8:$D$42))+1,""),ROW()-512)),"")</f>
        <v>https://www.comunidad.madrid/noticias/2023/12/18/diaz-ayuso-reconoce-35-personas-han-realizado-actuaciones-extraordinarias-ayuda-servicio-metro-este-ano-representan-valores-madrid</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Contacto</v>
      </c>
      <c r="C519" s="114" t="str" cm="1">
        <f t="array" ref="C519">IFERROR(INDEX('03.Muestra'!$F$8:$F$42,SMALL(IF("Página Web"='03.Muestra'!$D$8:$D$42,ROW('03.Muestra'!$F$8:$F$42)-MIN(ROW('03.Muestra'!$D$8:$D$42))+1,""),ROW()-512)),"")</f>
        <v>https://www.comunidad.madrid/servicios/atencion-ciudadano</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Aviso Legal</v>
      </c>
      <c r="C520" s="114" t="str" cm="1">
        <f t="array" ref="C520">IFERROR(INDEX('03.Muestra'!$F$8:$F$42,SMALL(IF("Página Web"='03.Muestra'!$D$8:$D$42,ROW('03.Muestra'!$F$8:$F$42)-MIN(ROW('03.Muestra'!$D$8:$D$42))+1,""),ROW()-512)),"")</f>
        <v>https://www.comunidad.madrid/servicios/informacion-atencion-ciudadano/aviso-legal-privacidad</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Mapa web</v>
      </c>
      <c r="C521" s="114" t="str" cm="1">
        <f t="array" ref="C521">IFERROR(INDEX('03.Muestra'!$F$8:$F$42,SMALL(IF("Página Web"='03.Muestra'!$D$8:$D$42,ROW('03.Muestra'!$F$8:$F$42)-MIN(ROW('03.Muestra'!$D$8:$D$42))+1,""),ROW()-512)),"")</f>
        <v>https://www.comunidad.madrid/sitemap</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Accesibilidad</v>
      </c>
      <c r="C522" s="114" t="str" cm="1">
        <f t="array" ref="C522">IFERROR(INDEX('03.Muestra'!$F$8:$F$42,SMALL(IF("Página Web"='03.Muestra'!$D$8:$D$42,ROW('03.Muestra'!$F$8:$F$42)-MIN(ROW('03.Muestra'!$D$8:$D$42))+1,""),ROW()-512)),"")</f>
        <v>https://www.comunidad.madrid/servicios/informacion-atencion-ciudadano/accesibilidad-web</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ref="D523:D547" si="27">IF(AND(B523&lt;&gt;"",C523&lt;&gt;""),"N/T","")</f>
        <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Video</v>
      </c>
      <c r="C556" s="114" t="str" cm="1">
        <f t="array" ref="C556">IFERROR(INDEX('03.Muestra'!$F$8:$F$42,SMALL(IF("Página Web"='03.Muestra'!$D$8:$D$42,ROW('03.Muestra'!$F$8:$F$42)-MIN(ROW('03.Muestra'!$D$8:$D$42))+1,""),ROW()-550)),"")</f>
        <v>https://www.comunidad.madrid/noticias/2023/12/18/diaz-ayuso-reconoce-35-personas-han-realizado-actuaciones-extraordinarias-ayuda-servicio-metro-este-ano-representan-valores-madrid</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Contacto</v>
      </c>
      <c r="C557" s="114" t="str" cm="1">
        <f t="array" ref="C557">IFERROR(INDEX('03.Muestra'!$F$8:$F$42,SMALL(IF("Página Web"='03.Muestra'!$D$8:$D$42,ROW('03.Muestra'!$F$8:$F$42)-MIN(ROW('03.Muestra'!$D$8:$D$42))+1,""),ROW()-550)),"")</f>
        <v>https://www.comunidad.madrid/servicios/atencion-ciudadano</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Aviso Legal</v>
      </c>
      <c r="C558" s="114" t="str" cm="1">
        <f t="array" ref="C558">IFERROR(INDEX('03.Muestra'!$F$8:$F$42,SMALL(IF("Página Web"='03.Muestra'!$D$8:$D$42,ROW('03.Muestra'!$F$8:$F$42)-MIN(ROW('03.Muestra'!$D$8:$D$42))+1,""),ROW()-550)),"")</f>
        <v>https://www.comunidad.madrid/servicios/informacion-atencion-ciudadano/aviso-legal-privacidad</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Mapa web</v>
      </c>
      <c r="C559" s="114" t="str" cm="1">
        <f t="array" ref="C559">IFERROR(INDEX('03.Muestra'!$F$8:$F$42,SMALL(IF("Página Web"='03.Muestra'!$D$8:$D$42,ROW('03.Muestra'!$F$8:$F$42)-MIN(ROW('03.Muestra'!$D$8:$D$42))+1,""),ROW()-550)),"")</f>
        <v>https://www.comunidad.madrid/sitemap</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Accesibilidad</v>
      </c>
      <c r="C560" s="114" t="str" cm="1">
        <f t="array" ref="C560">IFERROR(INDEX('03.Muestra'!$F$8:$F$42,SMALL(IF("Página Web"='03.Muestra'!$D$8:$D$42,ROW('03.Muestra'!$F$8:$F$42)-MIN(ROW('03.Muestra'!$D$8:$D$42))+1,""),ROW()-550)),"")</f>
        <v>https://www.comunidad.madrid/servicios/informacion-atencion-ciudadano/accesibilidad-web</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ref="D561:D585" si="29">IF(AND(B561&lt;&gt;"",C561&lt;&gt;""),"N/T","")</f>
        <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Video</v>
      </c>
      <c r="C594" s="114" t="str" cm="1">
        <f t="array" ref="C594">IFERROR(INDEX('03.Muestra'!$F$8:$F$42,SMALL(IF("Página Web"='03.Muestra'!$D$8:$D$42,ROW('03.Muestra'!$F$8:$F$42)-MIN(ROW('03.Muestra'!$D$8:$D$42))+1,""),ROW()-588)),"")</f>
        <v>https://www.comunidad.madrid/noticias/2023/12/18/diaz-ayuso-reconoce-35-personas-han-realizado-actuaciones-extraordinarias-ayuda-servicio-metro-este-ano-representan-valores-madrid</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Contacto</v>
      </c>
      <c r="C595" s="114" t="str" cm="1">
        <f t="array" ref="C595">IFERROR(INDEX('03.Muestra'!$F$8:$F$42,SMALL(IF("Página Web"='03.Muestra'!$D$8:$D$42,ROW('03.Muestra'!$F$8:$F$42)-MIN(ROW('03.Muestra'!$D$8:$D$42))+1,""),ROW()-588)),"")</f>
        <v>https://www.comunidad.madrid/servicios/atencion-ciudadano</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Aviso Legal</v>
      </c>
      <c r="C596" s="114" t="str" cm="1">
        <f t="array" ref="C596">IFERROR(INDEX('03.Muestra'!$F$8:$F$42,SMALL(IF("Página Web"='03.Muestra'!$D$8:$D$42,ROW('03.Muestra'!$F$8:$F$42)-MIN(ROW('03.Muestra'!$D$8:$D$42))+1,""),ROW()-588)),"")</f>
        <v>https://www.comunidad.madrid/servicios/informacion-atencion-ciudadano/aviso-legal-privacidad</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Mapa web</v>
      </c>
      <c r="C597" s="114" t="str" cm="1">
        <f t="array" ref="C597">IFERROR(INDEX('03.Muestra'!$F$8:$F$42,SMALL(IF("Página Web"='03.Muestra'!$D$8:$D$42,ROW('03.Muestra'!$F$8:$F$42)-MIN(ROW('03.Muestra'!$D$8:$D$42))+1,""),ROW()-588)),"")</f>
        <v>https://www.comunidad.madrid/sitemap</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Accesibilidad</v>
      </c>
      <c r="C598" s="114" t="str" cm="1">
        <f t="array" ref="C598">IFERROR(INDEX('03.Muestra'!$F$8:$F$42,SMALL(IF("Página Web"='03.Muestra'!$D$8:$D$42,ROW('03.Muestra'!$F$8:$F$42)-MIN(ROW('03.Muestra'!$D$8:$D$42))+1,""),ROW()-588)),"")</f>
        <v>https://www.comunidad.madrid/servicios/informacion-atencion-ciudadano/accesibilidad-web</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ref="D599:D623" si="31">IF(AND(B599&lt;&gt;"",C599&lt;&gt;""),"N/T","")</f>
        <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Video</v>
      </c>
      <c r="C632" s="114" t="str" cm="1">
        <f t="array" ref="C632">IFERROR(INDEX('03.Muestra'!$F$8:$F$42,SMALL(IF("Página Web"='03.Muestra'!$D$8:$D$42,ROW('03.Muestra'!$F$8:$F$42)-MIN(ROW('03.Muestra'!$D$8:$D$42))+1,""),ROW()-626)),"")</f>
        <v>https://www.comunidad.madrid/noticias/2023/12/18/diaz-ayuso-reconoce-35-personas-han-realizado-actuaciones-extraordinarias-ayuda-servicio-metro-este-ano-representan-valores-madrid</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Contacto</v>
      </c>
      <c r="C633" s="114" t="str" cm="1">
        <f t="array" ref="C633">IFERROR(INDEX('03.Muestra'!$F$8:$F$42,SMALL(IF("Página Web"='03.Muestra'!$D$8:$D$42,ROW('03.Muestra'!$F$8:$F$42)-MIN(ROW('03.Muestra'!$D$8:$D$42))+1,""),ROW()-626)),"")</f>
        <v>https://www.comunidad.madrid/servicios/atencion-ciudadano</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Aviso Legal</v>
      </c>
      <c r="C634" s="114" t="str" cm="1">
        <f t="array" ref="C634">IFERROR(INDEX('03.Muestra'!$F$8:$F$42,SMALL(IF("Página Web"='03.Muestra'!$D$8:$D$42,ROW('03.Muestra'!$F$8:$F$42)-MIN(ROW('03.Muestra'!$D$8:$D$42))+1,""),ROW()-626)),"")</f>
        <v>https://www.comunidad.madrid/servicios/informacion-atencion-ciudadano/aviso-legal-privacidad</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Mapa web</v>
      </c>
      <c r="C635" s="114" t="str" cm="1">
        <f t="array" ref="C635">IFERROR(INDEX('03.Muestra'!$F$8:$F$42,SMALL(IF("Página Web"='03.Muestra'!$D$8:$D$42,ROW('03.Muestra'!$F$8:$F$42)-MIN(ROW('03.Muestra'!$D$8:$D$42))+1,""),ROW()-626)),"")</f>
        <v>https://www.comunidad.madrid/sitemap</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Accesibilidad</v>
      </c>
      <c r="C636" s="114" t="str" cm="1">
        <f t="array" ref="C636">IFERROR(INDEX('03.Muestra'!$F$8:$F$42,SMALL(IF("Página Web"='03.Muestra'!$D$8:$D$42,ROW('03.Muestra'!$F$8:$F$42)-MIN(ROW('03.Muestra'!$D$8:$D$42))+1,""),ROW()-626)),"")</f>
        <v>https://www.comunidad.madrid/servicios/informacion-atencion-ciudadano/accesibilidad-web</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ref="D637:D661" si="33">IF(AND(B637&lt;&gt;"",C637&lt;&gt;""),"N/T","")</f>
        <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Video</v>
      </c>
      <c r="C670" s="114" t="str" cm="1">
        <f t="array" ref="C670">IFERROR(INDEX('03.Muestra'!$F$8:$F$42,SMALL(IF("Página Web"='03.Muestra'!$D$8:$D$42,ROW('03.Muestra'!$F$8:$F$42)-MIN(ROW('03.Muestra'!$D$8:$D$42))+1,""),ROW()-664)),"")</f>
        <v>https://www.comunidad.madrid/noticias/2023/12/18/diaz-ayuso-reconoce-35-personas-han-realizado-actuaciones-extraordinarias-ayuda-servicio-metro-este-ano-representan-valores-madrid</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Contacto</v>
      </c>
      <c r="C671" s="114" t="str" cm="1">
        <f t="array" ref="C671">IFERROR(INDEX('03.Muestra'!$F$8:$F$42,SMALL(IF("Página Web"='03.Muestra'!$D$8:$D$42,ROW('03.Muestra'!$F$8:$F$42)-MIN(ROW('03.Muestra'!$D$8:$D$42))+1,""),ROW()-664)),"")</f>
        <v>https://www.comunidad.madrid/servicios/atencion-ciudadano</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Aviso Legal</v>
      </c>
      <c r="C672" s="114" t="str" cm="1">
        <f t="array" ref="C672">IFERROR(INDEX('03.Muestra'!$F$8:$F$42,SMALL(IF("Página Web"='03.Muestra'!$D$8:$D$42,ROW('03.Muestra'!$F$8:$F$42)-MIN(ROW('03.Muestra'!$D$8:$D$42))+1,""),ROW()-664)),"")</f>
        <v>https://www.comunidad.madrid/servicios/informacion-atencion-ciudadano/aviso-legal-privacidad</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Mapa web</v>
      </c>
      <c r="C673" s="114" t="str" cm="1">
        <f t="array" ref="C673">IFERROR(INDEX('03.Muestra'!$F$8:$F$42,SMALL(IF("Página Web"='03.Muestra'!$D$8:$D$42,ROW('03.Muestra'!$F$8:$F$42)-MIN(ROW('03.Muestra'!$D$8:$D$42))+1,""),ROW()-664)),"")</f>
        <v>https://www.comunidad.madrid/sitemap</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Accesibilidad</v>
      </c>
      <c r="C674" s="114" t="str" cm="1">
        <f t="array" ref="C674">IFERROR(INDEX('03.Muestra'!$F$8:$F$42,SMALL(IF("Página Web"='03.Muestra'!$D$8:$D$42,ROW('03.Muestra'!$F$8:$F$42)-MIN(ROW('03.Muestra'!$D$8:$D$42))+1,""),ROW()-664)),"")</f>
        <v>https://www.comunidad.madrid/servicios/informacion-atencion-ciudadano/accesibilidad-web</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ref="D675:D699" si="35">IF(AND(B675&lt;&gt;"",C675&lt;&gt;""),"N/T","")</f>
        <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Video</v>
      </c>
      <c r="C708" s="114" t="str" cm="1">
        <f t="array" ref="C708">IFERROR(INDEX('03.Muestra'!$F$8:$F$42,SMALL(IF("Página Web"='03.Muestra'!$D$8:$D$42,ROW('03.Muestra'!$F$8:$F$42)-MIN(ROW('03.Muestra'!$D$8:$D$42))+1,""),ROW()-702)),"")</f>
        <v>https://www.comunidad.madrid/noticias/2023/12/18/diaz-ayuso-reconoce-35-personas-han-realizado-actuaciones-extraordinarias-ayuda-servicio-metro-este-ano-representan-valores-madrid</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Contacto</v>
      </c>
      <c r="C709" s="114" t="str" cm="1">
        <f t="array" ref="C709">IFERROR(INDEX('03.Muestra'!$F$8:$F$42,SMALL(IF("Página Web"='03.Muestra'!$D$8:$D$42,ROW('03.Muestra'!$F$8:$F$42)-MIN(ROW('03.Muestra'!$D$8:$D$42))+1,""),ROW()-702)),"")</f>
        <v>https://www.comunidad.madrid/servicios/atencion-ciudadano</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Aviso Legal</v>
      </c>
      <c r="C710" s="114" t="str" cm="1">
        <f t="array" ref="C710">IFERROR(INDEX('03.Muestra'!$F$8:$F$42,SMALL(IF("Página Web"='03.Muestra'!$D$8:$D$42,ROW('03.Muestra'!$F$8:$F$42)-MIN(ROW('03.Muestra'!$D$8:$D$42))+1,""),ROW()-702)),"")</f>
        <v>https://www.comunidad.madrid/servicios/informacion-atencion-ciudadano/aviso-legal-privacidad</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Mapa web</v>
      </c>
      <c r="C711" s="114" t="str" cm="1">
        <f t="array" ref="C711">IFERROR(INDEX('03.Muestra'!$F$8:$F$42,SMALL(IF("Página Web"='03.Muestra'!$D$8:$D$42,ROW('03.Muestra'!$F$8:$F$42)-MIN(ROW('03.Muestra'!$D$8:$D$42))+1,""),ROW()-702)),"")</f>
        <v>https://www.comunidad.madrid/sitemap</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Accesibilidad</v>
      </c>
      <c r="C712" s="114" t="str" cm="1">
        <f t="array" ref="C712">IFERROR(INDEX('03.Muestra'!$F$8:$F$42,SMALL(IF("Página Web"='03.Muestra'!$D$8:$D$42,ROW('03.Muestra'!$F$8:$F$42)-MIN(ROW('03.Muestra'!$D$8:$D$42))+1,""),ROW()-702)),"")</f>
        <v>https://www.comunidad.madrid/servicios/informacion-atencion-ciudadano/accesibilidad-web</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ref="D713:D737" si="37">IF(AND(B713&lt;&gt;"",C713&lt;&gt;""),"N/T","")</f>
        <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8" zoomScaleNormal="100" workbookViewId="0">
      <selection activeCell="D24" sqref="D24"/>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7.9"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8</v>
      </c>
      <c r="H12" s="53">
        <f ca="1">IF(($G$15+$K$15)=0,0,G12/($G$15+$K$15))</f>
        <v>8.8888888888888892E-2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1</v>
      </c>
      <c r="H13" s="53">
        <f ca="1">IF(($G$15+$K$15)=0,0,G13/($G$15+$K$15))</f>
        <v>1.1111111111111112E-2</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81</v>
      </c>
      <c r="H14" s="53">
        <f ca="1">IF(($G$15+$K$15)=0,0,G14/($G$15+$K$15))</f>
        <v>0.9</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35</v>
      </c>
      <c r="E20" s="107" t="str">
        <f t="shared" si="0"/>
        <v/>
      </c>
      <c r="F20" s="120">
        <f ca="1">COUNTIF($D19:INDIRECT("$D" &amp;  SUM(ROW()-1,'03.Muestra'!$D$45)-1),F19)</f>
        <v>0</v>
      </c>
      <c r="G20" s="120">
        <f ca="1">COUNTIF($D19:INDIRECT("$D" &amp;  SUM(ROW()-1,'03.Muestra'!$D$45)-1),G19)</f>
        <v>0</v>
      </c>
      <c r="H20" s="120">
        <f ca="1">COUNTIF($D19:INDIRECT("$D" &amp;  SUM(ROW()-1,'03.Muestra'!$D$45)-1),H19)</f>
        <v>9</v>
      </c>
      <c r="I20" s="120">
        <f ca="1">COUNTIF($D19:INDIRECT("$D" &amp;  SUM(ROW()-1,'03.Muestra'!$D$45)-1),I19)</f>
        <v>0</v>
      </c>
      <c r="J20" s="120">
        <f ca="1">COUNTIF($D19:INDIRECT("$D" &amp;  SUM(ROW()-1,'03.Muestra'!$D$45)-1),J19)</f>
        <v>1</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35</v>
      </c>
      <c r="E28" s="107" t="str">
        <f t="shared" si="0"/>
        <v/>
      </c>
      <c r="F28" s="19"/>
      <c r="G28" s="19"/>
      <c r="H28" s="19"/>
      <c r="I28" s="19"/>
      <c r="J28" s="19"/>
      <c r="N28" s="19"/>
      <c r="O28" s="19"/>
      <c r="P28" s="19"/>
      <c r="Q28" s="19"/>
      <c r="R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9</v>
      </c>
      <c r="I58" s="120">
        <f ca="1">COUNTIF($D57:INDIRECT("$D" &amp;  SUM(ROW()-1,'03.Muestra'!$D$45)-1),I57)</f>
        <v>0</v>
      </c>
      <c r="J58" s="120">
        <f ca="1">COUNTIF($D57:INDIRECT("$D" &amp;  SUM(ROW()-1,'03.Muestra'!$D$45)-1),J57)</f>
        <v>1</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26</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9</v>
      </c>
      <c r="I172" s="120">
        <f ca="1">COUNTIF($D171:INDIRECT("$D" &amp;  SUM(ROW()-1,'03.Muestra'!$D$45)-1),I171)</f>
        <v>0</v>
      </c>
      <c r="J172" s="120">
        <f ca="1">COUNTIF($D171:INDIRECT("$D" &amp;  SUM(ROW()-1,'03.Muestra'!$D$45)-1),J171)</f>
        <v>1</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26</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9</v>
      </c>
      <c r="I210" s="120">
        <f ca="1">COUNTIF($D209:INDIRECT("$D" &amp;  SUM(ROW()-1,'03.Muestra'!$D$45)-1),I209)</f>
        <v>0</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9</v>
      </c>
      <c r="I248" s="120">
        <f ca="1">COUNTIF($D247:INDIRECT("$D" &amp;  SUM(ROW()-1,'03.Muestra'!$D$45)-1),I247)</f>
        <v>0</v>
      </c>
      <c r="J248" s="120">
        <f ca="1">COUNTIF($D247:INDIRECT("$D" &amp;  SUM(ROW()-1,'03.Muestra'!$D$45)-1),J247)</f>
        <v>1</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9</v>
      </c>
      <c r="I286" s="120">
        <f ca="1">COUNTIF($D285:INDIRECT("$D" &amp;  SUM(ROW()-1,'03.Muestra'!$D$45)-1),I285)</f>
        <v>0</v>
      </c>
      <c r="J286" s="120">
        <f ca="1">COUNTIF($D285:INDIRECT("$D" &amp;  SUM(ROW()-1,'03.Muestra'!$D$45)-1),J285)</f>
        <v>1</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26</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9</v>
      </c>
      <c r="I324" s="120">
        <f ca="1">COUNTIF($D323:INDIRECT("$D" &amp;  SUM(ROW()-1,'03.Muestra'!$D$45)-1),I323)</f>
        <v>1</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28</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120" zoomScaleNormal="120" workbookViewId="0">
      <selection activeCell="C260" sqref="C260"/>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6.63281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7.9"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8.899999999999999" customHeight="1">
      <c r="B8" s="111" t="s">
        <v>153</v>
      </c>
      <c r="C8" s="19"/>
      <c r="D8" s="107"/>
      <c r="E8" s="107"/>
      <c r="F8" s="19"/>
      <c r="G8" s="19"/>
      <c r="H8" s="19"/>
      <c r="I8" s="19"/>
      <c r="J8" s="19"/>
      <c r="K8" s="19"/>
      <c r="L8" s="19"/>
      <c r="M8" s="19"/>
      <c r="N8" s="19"/>
      <c r="O8" s="19"/>
    </row>
    <row r="9" spans="1:64" ht="30" customHeight="1">
      <c r="B9" s="267" t="s">
        <v>471</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227</v>
      </c>
      <c r="H12" s="53">
        <f ca="1">IF(($G$15+$K$15)=0,0,G12/($G$15+$K$15))</f>
        <v>0.45400000000000001</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51</v>
      </c>
      <c r="H13" s="53">
        <f ca="1">IF(($G$15+$K$15)=0,0,G13/($G$15+$K$15))</f>
        <v>0.10199999999999999</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222</v>
      </c>
      <c r="H14" s="53">
        <f ca="1">IF(($G$15+$K$15)=0,0,G14/($G$15+$K$15))</f>
        <v>0.44400000000000001</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500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Servicios e información</v>
      </c>
      <c r="C20" s="114" t="str" cm="1">
        <f t="array" ref="C20">IFERROR(INDEX('03.Muestra'!$F$8:$F$42,SMALL(IF("Página Web"='03.Muestra'!$D$8:$D$42,ROW('03.Muestra'!$F$8:$F$42)-MIN(ROW('03.Muestra'!$D$8:$D$42))+1,""),ROW()-18)),"")</f>
        <v>https://www.comunidad.madrid/servicios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Cultura y turismo</v>
      </c>
      <c r="C21" s="114" t="str" cm="1">
        <f t="array" ref="C21">IFERROR(INDEX('03.Muestra'!$F$8:$F$42,SMALL(IF("Página Web"='03.Muestra'!$D$8:$D$42,ROW('03.Muestra'!$F$8:$F$42)-MIN(ROW('03.Muestra'!$D$8:$D$42))+1,""),ROW()-18)),"")</f>
        <v>https://www.comunidad.madrid/cultura</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Inversión y empresa</v>
      </c>
      <c r="C22" s="114" t="str" cm="1">
        <f t="array" ref="C22">IFERROR(INDEX('03.Muestra'!$F$8:$F$42,SMALL(IF("Página Web"='03.Muestra'!$D$8:$D$42,ROW('03.Muestra'!$F$8:$F$42)-MIN(ROW('03.Muestra'!$D$8:$D$42))+1,""),ROW()-18)),"")</f>
        <v>https://www.comunidad.madrid/inversion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Acción de gobierno</v>
      </c>
      <c r="C23" s="114" t="str" cm="1">
        <f t="array" ref="C23">IFERROR(INDEX('03.Muestra'!$F$8:$F$42,SMALL(IF("Página Web"='03.Muestra'!$D$8:$D$42,ROW('03.Muestra'!$F$8:$F$42)-MIN(ROW('03.Muestra'!$D$8:$D$42))+1,""),ROW()-18)),"")</f>
        <v>https://www.comunidad.madrid/gobierno</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Video</v>
      </c>
      <c r="C24" s="114" t="str" cm="1">
        <f t="array" ref="C24">IFERROR(INDEX('03.Muestra'!$F$8:$F$42,SMALL(IF("Página Web"='03.Muestra'!$D$8:$D$42,ROW('03.Muestra'!$F$8:$F$42)-MIN(ROW('03.Muestra'!$D$8:$D$42))+1,""),ROW()-18)),"")</f>
        <v>https://www.comunidad.madrid/noticias/2023/12/18/diaz-ayuso-reconoce-35-personas-han-realizado-actuaciones-extraordinarias-ayuda-servicio-metro-este-ano-representan-valores-madrid</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Contacto</v>
      </c>
      <c r="C25" s="114" t="str" cm="1">
        <f t="array" ref="C25">IFERROR(INDEX('03.Muestra'!$F$8:$F$42,SMALL(IF("Página Web"='03.Muestra'!$D$8:$D$42,ROW('03.Muestra'!$F$8:$F$42)-MIN(ROW('03.Muestra'!$D$8:$D$42))+1,""),ROW()-18)),"")</f>
        <v>https://www.comunidad.madrid/servicios/atencion-ciudadano</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Aviso Legal</v>
      </c>
      <c r="C26" s="114" t="str" cm="1">
        <f t="array" ref="C26">IFERROR(INDEX('03.Muestra'!$F$8:$F$42,SMALL(IF("Página Web"='03.Muestra'!$D$8:$D$42,ROW('03.Muestra'!$F$8:$F$42)-MIN(ROW('03.Muestra'!$D$8:$D$42))+1,""),ROW()-18)),"")</f>
        <v>https://www.comunidad.madrid/servicios/informacion-atencion-ciudadano/aviso-legal-privacidad</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Mapa web</v>
      </c>
      <c r="C27" s="114" t="str" cm="1">
        <f t="array" ref="C27">IFERROR(INDEX('03.Muestra'!$F$8:$F$42,SMALL(IF("Página Web"='03.Muestra'!$D$8:$D$42,ROW('03.Muestra'!$F$8:$F$42)-MIN(ROW('03.Muestra'!$D$8:$D$42))+1,""),ROW()-18)),"")</f>
        <v>https://www.comunidad.madrid/sitemap</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Accesibilidad</v>
      </c>
      <c r="C28" s="114" t="str" cm="1">
        <f t="array" ref="C28">IFERROR(INDEX('03.Muestra'!$F$8:$F$42,SMALL(IF("Página Web"='03.Muestra'!$D$8:$D$42,ROW('03.Muestra'!$F$8:$F$42)-MIN(ROW('03.Muestra'!$D$8:$D$42))+1,""),ROW()-18)),"")</f>
        <v>https://www.comunidad.madrid/servicios/informacion-atencion-ciudadano/accesibilidad-web</v>
      </c>
      <c r="D28" s="130" t="s">
        <v>26</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ref="D29:D53" si="1">IF(AND(B29&lt;&gt;"",C29&lt;&gt;""),"N/T","")</f>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Servicios e información</v>
      </c>
      <c r="C58" s="114" t="str" cm="1">
        <f t="array" ref="C58">IFERROR(INDEX('03.Muestra'!$F$8:$F$42,SMALL(IF("Página Web"='03.Muestra'!$D$8:$D$42,ROW('03.Muestra'!$F$8:$F$42)-MIN(ROW('03.Muestra'!$D$8:$D$42))+1,""),ROW()-56)),"")</f>
        <v>https://www.comunidad.madrid/servicios</v>
      </c>
      <c r="D58" s="130" t="s">
        <v>35</v>
      </c>
      <c r="E58" s="107" t="str">
        <f t="shared" si="2"/>
        <v/>
      </c>
      <c r="F58" s="120">
        <f ca="1">COUNTIF($D57:INDIRECT("$D" &amp;  SUM(ROW()-1,'03.Muestra'!$D$45)-1),F57)</f>
        <v>0</v>
      </c>
      <c r="G58" s="120">
        <f ca="1">COUNTIF($D57:INDIRECT("$D" &amp;  SUM(ROW()-1,'03.Muestra'!$D$45)-1),G57)</f>
        <v>0</v>
      </c>
      <c r="H58" s="120">
        <f ca="1">COUNTIF($D57:INDIRECT("$D" &amp;  SUM(ROW()-1,'03.Muestra'!$D$45)-1),H57)</f>
        <v>7</v>
      </c>
      <c r="I58" s="120">
        <f ca="1">COUNTIF($D57:INDIRECT("$D" &amp;  SUM(ROW()-1,'03.Muestra'!$D$45)-1),I57)</f>
        <v>0</v>
      </c>
      <c r="J58" s="120">
        <f ca="1">COUNTIF($D57:INDIRECT("$D" &amp;  SUM(ROW()-1,'03.Muestra'!$D$45)-1),J57)</f>
        <v>3</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Cultura y turismo</v>
      </c>
      <c r="C59" s="114" t="str" cm="1">
        <f t="array" ref="C59">IFERROR(INDEX('03.Muestra'!$F$8:$F$42,SMALL(IF("Página Web"='03.Muestra'!$D$8:$D$42,ROW('03.Muestra'!$F$8:$F$42)-MIN(ROW('03.Muestra'!$D$8:$D$42))+1,""),ROW()-56)),"")</f>
        <v>https://www.comunidad.madrid/cultura</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Inversión y empresa</v>
      </c>
      <c r="C60" s="114" t="str" cm="1">
        <f t="array" ref="C60">IFERROR(INDEX('03.Muestra'!$F$8:$F$42,SMALL(IF("Página Web"='03.Muestra'!$D$8:$D$42,ROW('03.Muestra'!$F$8:$F$42)-MIN(ROW('03.Muestra'!$D$8:$D$42))+1,""),ROW()-56)),"")</f>
        <v>https://www.comunidad.madrid/inversion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Acción de gobierno</v>
      </c>
      <c r="C61" s="114" t="str" cm="1">
        <f t="array" ref="C61">IFERROR(INDEX('03.Muestra'!$F$8:$F$42,SMALL(IF("Página Web"='03.Muestra'!$D$8:$D$42,ROW('03.Muestra'!$F$8:$F$42)-MIN(ROW('03.Muestra'!$D$8:$D$42))+1,""),ROW()-56)),"")</f>
        <v>https://www.comunidad.madrid/gobierno</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Video</v>
      </c>
      <c r="C62" s="114" t="str" cm="1">
        <f t="array" ref="C62">IFERROR(INDEX('03.Muestra'!$F$8:$F$42,SMALL(IF("Página Web"='03.Muestra'!$D$8:$D$42,ROW('03.Muestra'!$F$8:$F$42)-MIN(ROW('03.Muestra'!$D$8:$D$42))+1,""),ROW()-56)),"")</f>
        <v>https://www.comunidad.madrid/noticias/2023/12/18/diaz-ayuso-reconoce-35-personas-han-realizado-actuaciones-extraordinarias-ayuda-servicio-metro-este-ano-representan-valores-madrid</v>
      </c>
      <c r="D62" s="130" t="s">
        <v>26</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Contacto</v>
      </c>
      <c r="C63" s="114" t="str" cm="1">
        <f t="array" ref="C63">IFERROR(INDEX('03.Muestra'!$F$8:$F$42,SMALL(IF("Página Web"='03.Muestra'!$D$8:$D$42,ROW('03.Muestra'!$F$8:$F$42)-MIN(ROW('03.Muestra'!$D$8:$D$42))+1,""),ROW()-56)),"")</f>
        <v>https://www.comunidad.madrid/servicios/atencion-ciudadano</v>
      </c>
      <c r="D63" s="130" t="s">
        <v>26</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Aviso Legal</v>
      </c>
      <c r="C64" s="114" t="str" cm="1">
        <f t="array" ref="C64">IFERROR(INDEX('03.Muestra'!$F$8:$F$42,SMALL(IF("Página Web"='03.Muestra'!$D$8:$D$42,ROW('03.Muestra'!$F$8:$F$42)-MIN(ROW('03.Muestra'!$D$8:$D$42))+1,""),ROW()-56)),"")</f>
        <v>https://www.comunidad.madrid/servicios/informacion-atencion-ciudadano/aviso-legal-privacidad</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Mapa web</v>
      </c>
      <c r="C65" s="114" t="str" cm="1">
        <f t="array" ref="C65">IFERROR(INDEX('03.Muestra'!$F$8:$F$42,SMALL(IF("Página Web"='03.Muestra'!$D$8:$D$42,ROW('03.Muestra'!$F$8:$F$42)-MIN(ROW('03.Muestra'!$D$8:$D$42))+1,""),ROW()-56)),"")</f>
        <v>https://www.comunidad.madrid/sitemap</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Accesibilidad</v>
      </c>
      <c r="C66" s="114" t="str" cm="1">
        <f t="array" ref="C66">IFERROR(INDEX('03.Muestra'!$F$8:$F$42,SMALL(IF("Página Web"='03.Muestra'!$D$8:$D$42,ROW('03.Muestra'!$F$8:$F$42)-MIN(ROW('03.Muestra'!$D$8:$D$42))+1,""),ROW()-56)),"")</f>
        <v>https://www.comunidad.madrid/servicios/informacion-atencion-ciudadano/accesibilidad-web</v>
      </c>
      <c r="D66" s="130" t="s">
        <v>26</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ref="D67:D91" si="3">IF(AND(B67&lt;&gt;"",C67&lt;&gt;""),"N/T","")</f>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Servicios e información</v>
      </c>
      <c r="C96" s="114" t="str" cm="1">
        <f t="array" ref="C96">IFERROR(INDEX('03.Muestra'!$F$8:$F$42,SMALL(IF("Página Web"='03.Muestra'!$D$8:$D$42,ROW('03.Muestra'!$F$8:$F$42)-MIN(ROW('03.Muestra'!$D$8:$D$42))+1,""),ROW()-94)),"")</f>
        <v>https://www.comunidad.madrid/servicios</v>
      </c>
      <c r="D96" s="130" t="s">
        <v>35</v>
      </c>
      <c r="E96" s="107" t="str">
        <f t="shared" si="4"/>
        <v/>
      </c>
      <c r="F96" s="120">
        <f ca="1">COUNTIF($D95:INDIRECT("$D" &amp;  SUM(ROW()-1,'03.Muestra'!$D$45)-1),F95)</f>
        <v>0</v>
      </c>
      <c r="G96" s="120">
        <f ca="1">COUNTIF($D95:INDIRECT("$D" &amp;  SUM(ROW()-1,'03.Muestra'!$D$45)-1),G95)</f>
        <v>0</v>
      </c>
      <c r="H96" s="120">
        <f ca="1">COUNTIF($D95:INDIRECT("$D" &amp;  SUM(ROW()-1,'03.Muestra'!$D$45)-1),H95)</f>
        <v>9</v>
      </c>
      <c r="I96" s="120">
        <f ca="1">COUNTIF($D95:INDIRECT("$D" &amp;  SUM(ROW()-1,'03.Muestra'!$D$45)-1),I95)</f>
        <v>0</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Cultura y turismo</v>
      </c>
      <c r="C97" s="114" t="str" cm="1">
        <f t="array" ref="C97">IFERROR(INDEX('03.Muestra'!$F$8:$F$42,SMALL(IF("Página Web"='03.Muestra'!$D$8:$D$42,ROW('03.Muestra'!$F$8:$F$42)-MIN(ROW('03.Muestra'!$D$8:$D$42))+1,""),ROW()-94)),"")</f>
        <v>https://www.comunidad.madrid/cultura</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Inversión y empresa</v>
      </c>
      <c r="C98" s="114" t="str" cm="1">
        <f t="array" ref="C98">IFERROR(INDEX('03.Muestra'!$F$8:$F$42,SMALL(IF("Página Web"='03.Muestra'!$D$8:$D$42,ROW('03.Muestra'!$F$8:$F$42)-MIN(ROW('03.Muestra'!$D$8:$D$42))+1,""),ROW()-94)),"")</f>
        <v>https://www.comunidad.madrid/inversion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Acción de gobierno</v>
      </c>
      <c r="C99" s="114" t="str" cm="1">
        <f t="array" ref="C99">IFERROR(INDEX('03.Muestra'!$F$8:$F$42,SMALL(IF("Página Web"='03.Muestra'!$D$8:$D$42,ROW('03.Muestra'!$F$8:$F$42)-MIN(ROW('03.Muestra'!$D$8:$D$42))+1,""),ROW()-94)),"")</f>
        <v>https://www.comunidad.madrid/gobierno</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Video</v>
      </c>
      <c r="C100" s="114" t="str" cm="1">
        <f t="array" ref="C100">IFERROR(INDEX('03.Muestra'!$F$8:$F$42,SMALL(IF("Página Web"='03.Muestra'!$D$8:$D$42,ROW('03.Muestra'!$F$8:$F$42)-MIN(ROW('03.Muestra'!$D$8:$D$42))+1,""),ROW()-94)),"")</f>
        <v>https://www.comunidad.madrid/noticias/2023/12/18/diaz-ayuso-reconoce-35-personas-han-realizado-actuaciones-extraordinarias-ayuda-servicio-metro-este-ano-representan-valores-madrid</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Contacto</v>
      </c>
      <c r="C101" s="114" t="str" cm="1">
        <f t="array" ref="C101">IFERROR(INDEX('03.Muestra'!$F$8:$F$42,SMALL(IF("Página Web"='03.Muestra'!$D$8:$D$42,ROW('03.Muestra'!$F$8:$F$42)-MIN(ROW('03.Muestra'!$D$8:$D$42))+1,""),ROW()-94)),"")</f>
        <v>https://www.comunidad.madrid/servicios/atencion-ciudadano</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Aviso Legal</v>
      </c>
      <c r="C102" s="114" t="str" cm="1">
        <f t="array" ref="C102">IFERROR(INDEX('03.Muestra'!$F$8:$F$42,SMALL(IF("Página Web"='03.Muestra'!$D$8:$D$42,ROW('03.Muestra'!$F$8:$F$42)-MIN(ROW('03.Muestra'!$D$8:$D$42))+1,""),ROW()-94)),"")</f>
        <v>https://www.comunidad.madrid/servicios/informacion-atencion-ciudadano/aviso-legal-privacidad</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Mapa web</v>
      </c>
      <c r="C103" s="114" t="str" cm="1">
        <f t="array" ref="C103">IFERROR(INDEX('03.Muestra'!$F$8:$F$42,SMALL(IF("Página Web"='03.Muestra'!$D$8:$D$42,ROW('03.Muestra'!$F$8:$F$42)-MIN(ROW('03.Muestra'!$D$8:$D$42))+1,""),ROW()-94)),"")</f>
        <v>https://www.comunidad.madrid/sitemap</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Accesibilidad</v>
      </c>
      <c r="C104" s="114" t="str" cm="1">
        <f t="array" ref="C104">IFERROR(INDEX('03.Muestra'!$F$8:$F$42,SMALL(IF("Página Web"='03.Muestra'!$D$8:$D$42,ROW('03.Muestra'!$F$8:$F$42)-MIN(ROW('03.Muestra'!$D$8:$D$42))+1,""),ROW()-94)),"")</f>
        <v>https://www.comunidad.madrid/servicios/informacion-atencion-ciudadano/accesibilidad-web</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ref="D105:D129" si="5">IF(AND(B105&lt;&gt;"",C105&lt;&gt;""),"N/T","")</f>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Servicios e información</v>
      </c>
      <c r="C134" s="114" t="str" cm="1">
        <f t="array" ref="C134">IFERROR(INDEX('03.Muestra'!$F$8:$F$42,SMALL(IF("Página Web"='03.Muestra'!$D$8:$D$42,ROW('03.Muestra'!$F$8:$F$42)-MIN(ROW('03.Muestra'!$D$8:$D$42))+1,""),ROW()-132)),"")</f>
        <v>https://www.comunidad.madrid/servicios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9</v>
      </c>
      <c r="I134" s="120">
        <f ca="1">COUNTIF($D133:INDIRECT("$D" &amp;  SUM(ROW()-1,'03.Muestra'!$D$45)-1),I133)</f>
        <v>0</v>
      </c>
      <c r="J134" s="120">
        <f ca="1">COUNTIF($D133:INDIRECT("$D" &amp;  SUM(ROW()-1,'03.Muestra'!$D$45)-1),J133)</f>
        <v>1</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Cultura y turismo</v>
      </c>
      <c r="C135" s="114" t="str" cm="1">
        <f t="array" ref="C135">IFERROR(INDEX('03.Muestra'!$F$8:$F$42,SMALL(IF("Página Web"='03.Muestra'!$D$8:$D$42,ROW('03.Muestra'!$F$8:$F$42)-MIN(ROW('03.Muestra'!$D$8:$D$42))+1,""),ROW()-132)),"")</f>
        <v>https://www.comunidad.madrid/cultura</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Inversión y empresa</v>
      </c>
      <c r="C136" s="114" t="str" cm="1">
        <f t="array" ref="C136">IFERROR(INDEX('03.Muestra'!$F$8:$F$42,SMALL(IF("Página Web"='03.Muestra'!$D$8:$D$42,ROW('03.Muestra'!$F$8:$F$42)-MIN(ROW('03.Muestra'!$D$8:$D$42))+1,""),ROW()-132)),"")</f>
        <v>https://www.comunidad.madrid/inversion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Acción de gobierno</v>
      </c>
      <c r="C137" s="114" t="str" cm="1">
        <f t="array" ref="C137">IFERROR(INDEX('03.Muestra'!$F$8:$F$42,SMALL(IF("Página Web"='03.Muestra'!$D$8:$D$42,ROW('03.Muestra'!$F$8:$F$42)-MIN(ROW('03.Muestra'!$D$8:$D$42))+1,""),ROW()-132)),"")</f>
        <v>https://www.comunidad.madrid/gobierno</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Video</v>
      </c>
      <c r="C138" s="114" t="str" cm="1">
        <f t="array" ref="C138">IFERROR(INDEX('03.Muestra'!$F$8:$F$42,SMALL(IF("Página Web"='03.Muestra'!$D$8:$D$42,ROW('03.Muestra'!$F$8:$F$42)-MIN(ROW('03.Muestra'!$D$8:$D$42))+1,""),ROW()-132)),"")</f>
        <v>https://www.comunidad.madrid/noticias/2023/12/18/diaz-ayuso-reconoce-35-personas-han-realizado-actuaciones-extraordinarias-ayuda-servicio-metro-este-ano-representan-valores-madrid</v>
      </c>
      <c r="D138" s="130" t="s">
        <v>26</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Contacto</v>
      </c>
      <c r="C139" s="114" t="str" cm="1">
        <f t="array" ref="C139">IFERROR(INDEX('03.Muestra'!$F$8:$F$42,SMALL(IF("Página Web"='03.Muestra'!$D$8:$D$42,ROW('03.Muestra'!$F$8:$F$42)-MIN(ROW('03.Muestra'!$D$8:$D$42))+1,""),ROW()-132)),"")</f>
        <v>https://www.comunidad.madrid/servicios/atencion-ciudadano</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Aviso Legal</v>
      </c>
      <c r="C140" s="114" t="str" cm="1">
        <f t="array" ref="C140">IFERROR(INDEX('03.Muestra'!$F$8:$F$42,SMALL(IF("Página Web"='03.Muestra'!$D$8:$D$42,ROW('03.Muestra'!$F$8:$F$42)-MIN(ROW('03.Muestra'!$D$8:$D$42))+1,""),ROW()-132)),"")</f>
        <v>https://www.comunidad.madrid/servicios/informacion-atencion-ciudadano/aviso-legal-privacidad</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Mapa web</v>
      </c>
      <c r="C141" s="114" t="str" cm="1">
        <f t="array" ref="C141">IFERROR(INDEX('03.Muestra'!$F$8:$F$42,SMALL(IF("Página Web"='03.Muestra'!$D$8:$D$42,ROW('03.Muestra'!$F$8:$F$42)-MIN(ROW('03.Muestra'!$D$8:$D$42))+1,""),ROW()-132)),"")</f>
        <v>https://www.comunidad.madrid/sitemap</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Accesibilidad</v>
      </c>
      <c r="C142" s="114" t="str" cm="1">
        <f t="array" ref="C142">IFERROR(INDEX('03.Muestra'!$F$8:$F$42,SMALL(IF("Página Web"='03.Muestra'!$D$8:$D$42,ROW('03.Muestra'!$F$8:$F$42)-MIN(ROW('03.Muestra'!$D$8:$D$42))+1,""),ROW()-132)),"")</f>
        <v>https://www.comunidad.madrid/servicios/informacion-atencion-ciudadano/accesibilidad-web</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ref="D143:D167" si="7">IF(AND(B143&lt;&gt;"",C143&lt;&gt;""),"N/T","")</f>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Servicios e información</v>
      </c>
      <c r="C172" s="114" t="str" cm="1">
        <f t="array" ref="C172">IFERROR(INDEX('03.Muestra'!$F$8:$F$42,SMALL(IF("Página Web"='03.Muestra'!$D$8:$D$42,ROW('03.Muestra'!$F$8:$F$42)-MIN(ROW('03.Muestra'!$D$8:$D$42))+1,""),ROW()-170)),"")</f>
        <v>https://www.comunidad.madrid/servicios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9</v>
      </c>
      <c r="I172" s="120">
        <f ca="1">COUNTIF($D171:INDIRECT("$D" &amp;  SUM(ROW()-1,'03.Muestra'!$D$45)-1),I171)</f>
        <v>0</v>
      </c>
      <c r="J172" s="120">
        <f ca="1">COUNTIF($D171:INDIRECT("$D" &amp;  SUM(ROW()-1,'03.Muestra'!$D$45)-1),J171)</f>
        <v>1</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Cultura y turismo</v>
      </c>
      <c r="C173" s="114" t="str" cm="1">
        <f t="array" ref="C173">IFERROR(INDEX('03.Muestra'!$F$8:$F$42,SMALL(IF("Página Web"='03.Muestra'!$D$8:$D$42,ROW('03.Muestra'!$F$8:$F$42)-MIN(ROW('03.Muestra'!$D$8:$D$42))+1,""),ROW()-170)),"")</f>
        <v>https://www.comunidad.madrid/cultura</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Inversión y empresa</v>
      </c>
      <c r="C174" s="114" t="str" cm="1">
        <f t="array" ref="C174">IFERROR(INDEX('03.Muestra'!$F$8:$F$42,SMALL(IF("Página Web"='03.Muestra'!$D$8:$D$42,ROW('03.Muestra'!$F$8:$F$42)-MIN(ROW('03.Muestra'!$D$8:$D$42))+1,""),ROW()-170)),"")</f>
        <v>https://www.comunidad.madrid/inversion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Acción de gobierno</v>
      </c>
      <c r="C175" s="114" t="str" cm="1">
        <f t="array" ref="C175">IFERROR(INDEX('03.Muestra'!$F$8:$F$42,SMALL(IF("Página Web"='03.Muestra'!$D$8:$D$42,ROW('03.Muestra'!$F$8:$F$42)-MIN(ROW('03.Muestra'!$D$8:$D$42))+1,""),ROW()-170)),"")</f>
        <v>https://www.comunidad.madrid/gobierno</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Video</v>
      </c>
      <c r="C176" s="114" t="str" cm="1">
        <f t="array" ref="C176">IFERROR(INDEX('03.Muestra'!$F$8:$F$42,SMALL(IF("Página Web"='03.Muestra'!$D$8:$D$42,ROW('03.Muestra'!$F$8:$F$42)-MIN(ROW('03.Muestra'!$D$8:$D$42))+1,""),ROW()-170)),"")</f>
        <v>https://www.comunidad.madrid/noticias/2023/12/18/diaz-ayuso-reconoce-35-personas-han-realizado-actuaciones-extraordinarias-ayuda-servicio-metro-este-ano-representan-valores-madrid</v>
      </c>
      <c r="D176" s="130" t="s">
        <v>26</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Contacto</v>
      </c>
      <c r="C177" s="114" t="str" cm="1">
        <f t="array" ref="C177">IFERROR(INDEX('03.Muestra'!$F$8:$F$42,SMALL(IF("Página Web"='03.Muestra'!$D$8:$D$42,ROW('03.Muestra'!$F$8:$F$42)-MIN(ROW('03.Muestra'!$D$8:$D$42))+1,""),ROW()-170)),"")</f>
        <v>https://www.comunidad.madrid/servicios/atencion-ciudadano</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Aviso Legal</v>
      </c>
      <c r="C178" s="114" t="str" cm="1">
        <f t="array" ref="C178">IFERROR(INDEX('03.Muestra'!$F$8:$F$42,SMALL(IF("Página Web"='03.Muestra'!$D$8:$D$42,ROW('03.Muestra'!$F$8:$F$42)-MIN(ROW('03.Muestra'!$D$8:$D$42))+1,""),ROW()-170)),"")</f>
        <v>https://www.comunidad.madrid/servicios/informacion-atencion-ciudadano/aviso-legal-privacidad</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Mapa web</v>
      </c>
      <c r="C179" s="114" t="str" cm="1">
        <f t="array" ref="C179">IFERROR(INDEX('03.Muestra'!$F$8:$F$42,SMALL(IF("Página Web"='03.Muestra'!$D$8:$D$42,ROW('03.Muestra'!$F$8:$F$42)-MIN(ROW('03.Muestra'!$D$8:$D$42))+1,""),ROW()-170)),"")</f>
        <v>https://www.comunidad.madrid/sitemap</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Accesibilidad</v>
      </c>
      <c r="C180" s="114" t="str" cm="1">
        <f t="array" ref="C180">IFERROR(INDEX('03.Muestra'!$F$8:$F$42,SMALL(IF("Página Web"='03.Muestra'!$D$8:$D$42,ROW('03.Muestra'!$F$8:$F$42)-MIN(ROW('03.Muestra'!$D$8:$D$42))+1,""),ROW()-170)),"")</f>
        <v>https://www.comunidad.madrid/servicios/informacion-atencion-ciudadano/accesibilidad-web</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ref="D181:D205" si="9">IF(AND(B181&lt;&gt;"",C181&lt;&gt;""),"N/T","")</f>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Servicios e información</v>
      </c>
      <c r="C210" s="114" t="str" cm="1">
        <f t="array" ref="C210">IFERROR(INDEX('03.Muestra'!$F$8:$F$42,SMALL(IF("Página Web"='03.Muestra'!$D$8:$D$42,ROW('03.Muestra'!$F$8:$F$42)-MIN(ROW('03.Muestra'!$D$8:$D$42))+1,""),ROW()-208)),"")</f>
        <v>https://www.comunidad.madrid/servicios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3</v>
      </c>
      <c r="J210" s="120">
        <f ca="1">COUNTIF($D209:INDIRECT("$D" &amp;  SUM(ROW()-1,'03.Muestra'!$D$45)-1),J209)</f>
        <v>7</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Cultura y turismo</v>
      </c>
      <c r="C211" s="114" t="str" cm="1">
        <f t="array" ref="C211">IFERROR(INDEX('03.Muestra'!$F$8:$F$42,SMALL(IF("Página Web"='03.Muestra'!$D$8:$D$42,ROW('03.Muestra'!$F$8:$F$42)-MIN(ROW('03.Muestra'!$D$8:$D$42))+1,""),ROW()-208)),"")</f>
        <v>https://www.comunidad.madrid/cultura</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Inversión y empresa</v>
      </c>
      <c r="C212" s="114" t="str" cm="1">
        <f t="array" ref="C212">IFERROR(INDEX('03.Muestra'!$F$8:$F$42,SMALL(IF("Página Web"='03.Muestra'!$D$8:$D$42,ROW('03.Muestra'!$F$8:$F$42)-MIN(ROW('03.Muestra'!$D$8:$D$42))+1,""),ROW()-208)),"")</f>
        <v>https://www.comunidad.madrid/inversion</v>
      </c>
      <c r="D212" s="130" t="s">
        <v>26</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Acción de gobierno</v>
      </c>
      <c r="C213" s="114" t="str" cm="1">
        <f t="array" ref="C213">IFERROR(INDEX('03.Muestra'!$F$8:$F$42,SMALL(IF("Página Web"='03.Muestra'!$D$8:$D$42,ROW('03.Muestra'!$F$8:$F$42)-MIN(ROW('03.Muestra'!$D$8:$D$42))+1,""),ROW()-208)),"")</f>
        <v>https://www.comunidad.madrid/gobierno</v>
      </c>
      <c r="D213" s="130" t="s">
        <v>26</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Video</v>
      </c>
      <c r="C214" s="114" t="str" cm="1">
        <f t="array" ref="C214">IFERROR(INDEX('03.Muestra'!$F$8:$F$42,SMALL(IF("Página Web"='03.Muestra'!$D$8:$D$42,ROW('03.Muestra'!$F$8:$F$42)-MIN(ROW('03.Muestra'!$D$8:$D$42))+1,""),ROW()-208)),"")</f>
        <v>https://www.comunidad.madrid/noticias/2023/12/18/diaz-ayuso-reconoce-35-personas-han-realizado-actuaciones-extraordinarias-ayuda-servicio-metro-este-ano-representan-valores-madrid</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Contacto</v>
      </c>
      <c r="C215" s="114" t="str" cm="1">
        <f t="array" ref="C215">IFERROR(INDEX('03.Muestra'!$F$8:$F$42,SMALL(IF("Página Web"='03.Muestra'!$D$8:$D$42,ROW('03.Muestra'!$F$8:$F$42)-MIN(ROW('03.Muestra'!$D$8:$D$42))+1,""),ROW()-208)),"")</f>
        <v>https://www.comunidad.madrid/servicios/atencion-ciudadano</v>
      </c>
      <c r="D215" s="130" t="s">
        <v>26</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Aviso Legal</v>
      </c>
      <c r="C216" s="114" t="str" cm="1">
        <f t="array" ref="C216">IFERROR(INDEX('03.Muestra'!$F$8:$F$42,SMALL(IF("Página Web"='03.Muestra'!$D$8:$D$42,ROW('03.Muestra'!$F$8:$F$42)-MIN(ROW('03.Muestra'!$D$8:$D$42))+1,""),ROW()-208)),"")</f>
        <v>https://www.comunidad.madrid/servicios/informacion-atencion-ciudadano/aviso-legal-privacidad</v>
      </c>
      <c r="D216" s="130" t="s">
        <v>26</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Mapa web</v>
      </c>
      <c r="C217" s="114" t="str" cm="1">
        <f t="array" ref="C217">IFERROR(INDEX('03.Muestra'!$F$8:$F$42,SMALL(IF("Página Web"='03.Muestra'!$D$8:$D$42,ROW('03.Muestra'!$F$8:$F$42)-MIN(ROW('03.Muestra'!$D$8:$D$42))+1,""),ROW()-208)),"")</f>
        <v>https://www.comunidad.madrid/sitemap</v>
      </c>
      <c r="D217" s="130" t="s">
        <v>26</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Accesibilidad</v>
      </c>
      <c r="C218" s="114" t="str" cm="1">
        <f t="array" ref="C218">IFERROR(INDEX('03.Muestra'!$F$8:$F$42,SMALL(IF("Página Web"='03.Muestra'!$D$8:$D$42,ROW('03.Muestra'!$F$8:$F$42)-MIN(ROW('03.Muestra'!$D$8:$D$42))+1,""),ROW()-208)),"")</f>
        <v>https://www.comunidad.madrid/servicios/informacion-atencion-ciudadano/accesibilidad-web</v>
      </c>
      <c r="D218" s="130" t="s">
        <v>26</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ref="D219:D243" si="11">IF(AND(B219&lt;&gt;"",C219&lt;&gt;""),"N/T","")</f>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Servicios e información</v>
      </c>
      <c r="C248" s="114" t="str" cm="1">
        <f t="array" ref="C248">IFERROR(INDEX('03.Muestra'!$F$8:$F$42,SMALL(IF("Página Web"='03.Muestra'!$D$8:$D$42,ROW('03.Muestra'!$F$8:$F$42)-MIN(ROW('03.Muestra'!$D$8:$D$42))+1,""),ROW()-246)),"")</f>
        <v>https://www.comunidad.madrid/servicios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1</v>
      </c>
      <c r="J248" s="120">
        <f ca="1">COUNTIF($D247:INDIRECT("$D" &amp;  SUM(ROW()-1,'03.Muestra'!$D$45)-1),J247)</f>
        <v>9</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Cultura y turismo</v>
      </c>
      <c r="C249" s="114" t="str" cm="1">
        <f t="array" ref="C249">IFERROR(INDEX('03.Muestra'!$F$8:$F$42,SMALL(IF("Página Web"='03.Muestra'!$D$8:$D$42,ROW('03.Muestra'!$F$8:$F$42)-MIN(ROW('03.Muestra'!$D$8:$D$42))+1,""),ROW()-246)),"")</f>
        <v>https://www.comunidad.madrid/cultura</v>
      </c>
      <c r="D249" s="130" t="s">
        <v>28</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Inversión y empresa</v>
      </c>
      <c r="C250" s="114" t="str" cm="1">
        <f t="array" ref="C250">IFERROR(INDEX('03.Muestra'!$F$8:$F$42,SMALL(IF("Página Web"='03.Muestra'!$D$8:$D$42,ROW('03.Muestra'!$F$8:$F$42)-MIN(ROW('03.Muestra'!$D$8:$D$42))+1,""),ROW()-246)),"")</f>
        <v>https://www.comunidad.madrid/inversion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Acción de gobierno</v>
      </c>
      <c r="C251" s="114" t="str" cm="1">
        <f t="array" ref="C251">IFERROR(INDEX('03.Muestra'!$F$8:$F$42,SMALL(IF("Página Web"='03.Muestra'!$D$8:$D$42,ROW('03.Muestra'!$F$8:$F$42)-MIN(ROW('03.Muestra'!$D$8:$D$42))+1,""),ROW()-246)),"")</f>
        <v>https://www.comunidad.madrid/gobierno</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Video</v>
      </c>
      <c r="C252" s="114" t="str" cm="1">
        <f t="array" ref="C252">IFERROR(INDEX('03.Muestra'!$F$8:$F$42,SMALL(IF("Página Web"='03.Muestra'!$D$8:$D$42,ROW('03.Muestra'!$F$8:$F$42)-MIN(ROW('03.Muestra'!$D$8:$D$42))+1,""),ROW()-246)),"")</f>
        <v>https://www.comunidad.madrid/noticias/2023/12/18/diaz-ayuso-reconoce-35-personas-han-realizado-actuaciones-extraordinarias-ayuda-servicio-metro-este-ano-representan-valores-madrid</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Contacto</v>
      </c>
      <c r="C253" s="114" t="str" cm="1">
        <f t="array" ref="C253">IFERROR(INDEX('03.Muestra'!$F$8:$F$42,SMALL(IF("Página Web"='03.Muestra'!$D$8:$D$42,ROW('03.Muestra'!$F$8:$F$42)-MIN(ROW('03.Muestra'!$D$8:$D$42))+1,""),ROW()-246)),"")</f>
        <v>https://www.comunidad.madrid/servicios/atencion-ciudadano</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Aviso Legal</v>
      </c>
      <c r="C254" s="114" t="str" cm="1">
        <f t="array" ref="C254">IFERROR(INDEX('03.Muestra'!$F$8:$F$42,SMALL(IF("Página Web"='03.Muestra'!$D$8:$D$42,ROW('03.Muestra'!$F$8:$F$42)-MIN(ROW('03.Muestra'!$D$8:$D$42))+1,""),ROW()-246)),"")</f>
        <v>https://www.comunidad.madrid/servicios/informacion-atencion-ciudadano/aviso-legal-privacidad</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Mapa web</v>
      </c>
      <c r="C255" s="114" t="str" cm="1">
        <f t="array" ref="C255">IFERROR(INDEX('03.Muestra'!$F$8:$F$42,SMALL(IF("Página Web"='03.Muestra'!$D$8:$D$42,ROW('03.Muestra'!$F$8:$F$42)-MIN(ROW('03.Muestra'!$D$8:$D$42))+1,""),ROW()-246)),"")</f>
        <v>https://www.comunidad.madrid/sitemap</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Accesibilidad</v>
      </c>
      <c r="C256" s="114" t="str" cm="1">
        <f t="array" ref="C256">IFERROR(INDEX('03.Muestra'!$F$8:$F$42,SMALL(IF("Página Web"='03.Muestra'!$D$8:$D$42,ROW('03.Muestra'!$F$8:$F$42)-MIN(ROW('03.Muestra'!$D$8:$D$42))+1,""),ROW()-246)),"")</f>
        <v>https://www.comunidad.madrid/servicios/informacion-atencion-ciudadano/accesibilidad-web</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ref="D257:D281" si="13">IF(AND(B257&lt;&gt;"",C257&lt;&gt;""),"N/T","")</f>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v>
      </c>
      <c r="D285" s="130" t="s">
        <v>28</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Servicios e información</v>
      </c>
      <c r="C286" s="114" t="str" cm="1">
        <f t="array" ref="C286">IFERROR(INDEX('03.Muestra'!$F$8:$F$42,SMALL(IF("Página Web"='03.Muestra'!$D$8:$D$42,ROW('03.Muestra'!$F$8:$F$42)-MIN(ROW('03.Muestra'!$D$8:$D$42))+1,""),ROW()-284)),"")</f>
        <v>https://www.comunidad.madrid/servicios</v>
      </c>
      <c r="D286" s="130" t="s">
        <v>28</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10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Cultura y turismo</v>
      </c>
      <c r="C287" s="114" t="str" cm="1">
        <f t="array" ref="C287">IFERROR(INDEX('03.Muestra'!$F$8:$F$42,SMALL(IF("Página Web"='03.Muestra'!$D$8:$D$42,ROW('03.Muestra'!$F$8:$F$42)-MIN(ROW('03.Muestra'!$D$8:$D$42))+1,""),ROW()-284)),"")</f>
        <v>https://www.comunidad.madrid/cultura</v>
      </c>
      <c r="D287" s="130" t="s">
        <v>28</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Inversión y empresa</v>
      </c>
      <c r="C288" s="114" t="str" cm="1">
        <f t="array" ref="C288">IFERROR(INDEX('03.Muestra'!$F$8:$F$42,SMALL(IF("Página Web"='03.Muestra'!$D$8:$D$42,ROW('03.Muestra'!$F$8:$F$42)-MIN(ROW('03.Muestra'!$D$8:$D$42))+1,""),ROW()-284)),"")</f>
        <v>https://www.comunidad.madrid/inversion</v>
      </c>
      <c r="D288" s="130" t="s">
        <v>28</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Acción de gobierno</v>
      </c>
      <c r="C289" s="114" t="str" cm="1">
        <f t="array" ref="C289">IFERROR(INDEX('03.Muestra'!$F$8:$F$42,SMALL(IF("Página Web"='03.Muestra'!$D$8:$D$42,ROW('03.Muestra'!$F$8:$F$42)-MIN(ROW('03.Muestra'!$D$8:$D$42))+1,""),ROW()-284)),"")</f>
        <v>https://www.comunidad.madrid/gobierno</v>
      </c>
      <c r="D289" s="130" t="s">
        <v>28</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Video</v>
      </c>
      <c r="C290" s="114" t="str" cm="1">
        <f t="array" ref="C290">IFERROR(INDEX('03.Muestra'!$F$8:$F$42,SMALL(IF("Página Web"='03.Muestra'!$D$8:$D$42,ROW('03.Muestra'!$F$8:$F$42)-MIN(ROW('03.Muestra'!$D$8:$D$42))+1,""),ROW()-284)),"")</f>
        <v>https://www.comunidad.madrid/noticias/2023/12/18/diaz-ayuso-reconoce-35-personas-han-realizado-actuaciones-extraordinarias-ayuda-servicio-metro-este-ano-representan-valores-madrid</v>
      </c>
      <c r="D290" s="130" t="s">
        <v>28</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Contacto</v>
      </c>
      <c r="C291" s="114" t="str" cm="1">
        <f t="array" ref="C291">IFERROR(INDEX('03.Muestra'!$F$8:$F$42,SMALL(IF("Página Web"='03.Muestra'!$D$8:$D$42,ROW('03.Muestra'!$F$8:$F$42)-MIN(ROW('03.Muestra'!$D$8:$D$42))+1,""),ROW()-284)),"")</f>
        <v>https://www.comunidad.madrid/servicios/atencion-ciudadano</v>
      </c>
      <c r="D291" s="130" t="s">
        <v>28</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Aviso Legal</v>
      </c>
      <c r="C292" s="114" t="str" cm="1">
        <f t="array" ref="C292">IFERROR(INDEX('03.Muestra'!$F$8:$F$42,SMALL(IF("Página Web"='03.Muestra'!$D$8:$D$42,ROW('03.Muestra'!$F$8:$F$42)-MIN(ROW('03.Muestra'!$D$8:$D$42))+1,""),ROW()-284)),"")</f>
        <v>https://www.comunidad.madrid/servicios/informacion-atencion-ciudadano/aviso-legal-privacidad</v>
      </c>
      <c r="D292" s="130" t="s">
        <v>28</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Mapa web</v>
      </c>
      <c r="C293" s="114" t="str" cm="1">
        <f t="array" ref="C293">IFERROR(INDEX('03.Muestra'!$F$8:$F$42,SMALL(IF("Página Web"='03.Muestra'!$D$8:$D$42,ROW('03.Muestra'!$F$8:$F$42)-MIN(ROW('03.Muestra'!$D$8:$D$42))+1,""),ROW()-284)),"")</f>
        <v>https://www.comunidad.madrid/sitemap</v>
      </c>
      <c r="D293" s="130" t="s">
        <v>28</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Accesibilidad</v>
      </c>
      <c r="C294" s="114" t="str" cm="1">
        <f t="array" ref="C294">IFERROR(INDEX('03.Muestra'!$F$8:$F$42,SMALL(IF("Página Web"='03.Muestra'!$D$8:$D$42,ROW('03.Muestra'!$F$8:$F$42)-MIN(ROW('03.Muestra'!$D$8:$D$42))+1,""),ROW()-284)),"")</f>
        <v>https://www.comunidad.madrid/servicios/informacion-atencion-ciudadano/accesibilidad-web</v>
      </c>
      <c r="D294" s="130" t="s">
        <v>28</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ref="D295:D319" si="15">IF(AND(B295&lt;&gt;"",C295&lt;&gt;""),"N/T","")</f>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Servicios e información</v>
      </c>
      <c r="C324" s="114" t="str" cm="1">
        <f t="array" ref="C324">IFERROR(INDEX('03.Muestra'!$F$8:$F$42,SMALL(IF("Página Web"='03.Muestra'!$D$8:$D$42,ROW('03.Muestra'!$F$8:$F$42)-MIN(ROW('03.Muestra'!$D$8:$D$42))+1,""),ROW()-322)),"")</f>
        <v>https://www.comunidad.madrid/servicios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Cultura y turismo</v>
      </c>
      <c r="C325" s="114" t="str" cm="1">
        <f t="array" ref="C325">IFERROR(INDEX('03.Muestra'!$F$8:$F$42,SMALL(IF("Página Web"='03.Muestra'!$D$8:$D$42,ROW('03.Muestra'!$F$8:$F$42)-MIN(ROW('03.Muestra'!$D$8:$D$42))+1,""),ROW()-322)),"")</f>
        <v>https://www.comunidad.madrid/cultura</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Inversión y empresa</v>
      </c>
      <c r="C326" s="114" t="str" cm="1">
        <f t="array" ref="C326">IFERROR(INDEX('03.Muestra'!$F$8:$F$42,SMALL(IF("Página Web"='03.Muestra'!$D$8:$D$42,ROW('03.Muestra'!$F$8:$F$42)-MIN(ROW('03.Muestra'!$D$8:$D$42))+1,""),ROW()-322)),"")</f>
        <v>https://www.comunidad.madrid/inversion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Acción de gobierno</v>
      </c>
      <c r="C327" s="114" t="str" cm="1">
        <f t="array" ref="C327">IFERROR(INDEX('03.Muestra'!$F$8:$F$42,SMALL(IF("Página Web"='03.Muestra'!$D$8:$D$42,ROW('03.Muestra'!$F$8:$F$42)-MIN(ROW('03.Muestra'!$D$8:$D$42))+1,""),ROW()-322)),"")</f>
        <v>https://www.comunidad.madrid/gobierno</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Video</v>
      </c>
      <c r="C328" s="114" t="str" cm="1">
        <f t="array" ref="C328">IFERROR(INDEX('03.Muestra'!$F$8:$F$42,SMALL(IF("Página Web"='03.Muestra'!$D$8:$D$42,ROW('03.Muestra'!$F$8:$F$42)-MIN(ROW('03.Muestra'!$D$8:$D$42))+1,""),ROW()-322)),"")</f>
        <v>https://www.comunidad.madrid/noticias/2023/12/18/diaz-ayuso-reconoce-35-personas-han-realizado-actuaciones-extraordinarias-ayuda-servicio-metro-este-ano-representan-valores-madrid</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Contacto</v>
      </c>
      <c r="C329" s="114" t="str" cm="1">
        <f t="array" ref="C329">IFERROR(INDEX('03.Muestra'!$F$8:$F$42,SMALL(IF("Página Web"='03.Muestra'!$D$8:$D$42,ROW('03.Muestra'!$F$8:$F$42)-MIN(ROW('03.Muestra'!$D$8:$D$42))+1,""),ROW()-322)),"")</f>
        <v>https://www.comunidad.madrid/servicios/atencion-ciudadano</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Aviso Legal</v>
      </c>
      <c r="C330" s="114" t="str" cm="1">
        <f t="array" ref="C330">IFERROR(INDEX('03.Muestra'!$F$8:$F$42,SMALL(IF("Página Web"='03.Muestra'!$D$8:$D$42,ROW('03.Muestra'!$F$8:$F$42)-MIN(ROW('03.Muestra'!$D$8:$D$42))+1,""),ROW()-322)),"")</f>
        <v>https://www.comunidad.madrid/servicios/informacion-atencion-ciudadano/aviso-legal-privacidad</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Mapa web</v>
      </c>
      <c r="C331" s="114" t="str" cm="1">
        <f t="array" ref="C331">IFERROR(INDEX('03.Muestra'!$F$8:$F$42,SMALL(IF("Página Web"='03.Muestra'!$D$8:$D$42,ROW('03.Muestra'!$F$8:$F$42)-MIN(ROW('03.Muestra'!$D$8:$D$42))+1,""),ROW()-322)),"")</f>
        <v>https://www.comunidad.madrid/sitemap</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Accesibilidad</v>
      </c>
      <c r="C332" s="114" t="str" cm="1">
        <f t="array" ref="C332">IFERROR(INDEX('03.Muestra'!$F$8:$F$42,SMALL(IF("Página Web"='03.Muestra'!$D$8:$D$42,ROW('03.Muestra'!$F$8:$F$42)-MIN(ROW('03.Muestra'!$D$8:$D$42))+1,""),ROW()-322)),"")</f>
        <v>https://www.comunidad.madrid/servicios/informacion-atencion-ciudadano/accesibilidad-web</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ref="D333:D357" si="17">IF(AND(B333&lt;&gt;"",C333&lt;&gt;""),"N/T","")</f>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Servicios e información</v>
      </c>
      <c r="C362" s="114" t="str" cm="1">
        <f t="array" ref="C362">IFERROR(INDEX('03.Muestra'!$F$8:$F$42,SMALL(IF("Página Web"='03.Muestra'!$D$8:$D$42,ROW('03.Muestra'!$F$8:$F$42)-MIN(ROW('03.Muestra'!$D$8:$D$42))+1,""),ROW()-360)),"")</f>
        <v>https://www.comunidad.madrid/servicios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Cultura y turismo</v>
      </c>
      <c r="C363" s="114" t="str" cm="1">
        <f t="array" ref="C363">IFERROR(INDEX('03.Muestra'!$F$8:$F$42,SMALL(IF("Página Web"='03.Muestra'!$D$8:$D$42,ROW('03.Muestra'!$F$8:$F$42)-MIN(ROW('03.Muestra'!$D$8:$D$42))+1,""),ROW()-360)),"")</f>
        <v>https://www.comunidad.madrid/cultura</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Inversión y empresa</v>
      </c>
      <c r="C364" s="114" t="str" cm="1">
        <f t="array" ref="C364">IFERROR(INDEX('03.Muestra'!$F$8:$F$42,SMALL(IF("Página Web"='03.Muestra'!$D$8:$D$42,ROW('03.Muestra'!$F$8:$F$42)-MIN(ROW('03.Muestra'!$D$8:$D$42))+1,""),ROW()-360)),"")</f>
        <v>https://www.comunidad.madrid/inversion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Acción de gobierno</v>
      </c>
      <c r="C365" s="114" t="str" cm="1">
        <f t="array" ref="C365">IFERROR(INDEX('03.Muestra'!$F$8:$F$42,SMALL(IF("Página Web"='03.Muestra'!$D$8:$D$42,ROW('03.Muestra'!$F$8:$F$42)-MIN(ROW('03.Muestra'!$D$8:$D$42))+1,""),ROW()-360)),"")</f>
        <v>https://www.comunidad.madrid/gobierno</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Video</v>
      </c>
      <c r="C366" s="114" t="str" cm="1">
        <f t="array" ref="C366">IFERROR(INDEX('03.Muestra'!$F$8:$F$42,SMALL(IF("Página Web"='03.Muestra'!$D$8:$D$42,ROW('03.Muestra'!$F$8:$F$42)-MIN(ROW('03.Muestra'!$D$8:$D$42))+1,""),ROW()-360)),"")</f>
        <v>https://www.comunidad.madrid/noticias/2023/12/18/diaz-ayuso-reconoce-35-personas-han-realizado-actuaciones-extraordinarias-ayuda-servicio-metro-este-ano-representan-valores-madrid</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Contacto</v>
      </c>
      <c r="C367" s="114" t="str" cm="1">
        <f t="array" ref="C367">IFERROR(INDEX('03.Muestra'!$F$8:$F$42,SMALL(IF("Página Web"='03.Muestra'!$D$8:$D$42,ROW('03.Muestra'!$F$8:$F$42)-MIN(ROW('03.Muestra'!$D$8:$D$42))+1,""),ROW()-360)),"")</f>
        <v>https://www.comunidad.madrid/servicios/atencion-ciudadano</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Aviso Legal</v>
      </c>
      <c r="C368" s="114" t="str" cm="1">
        <f t="array" ref="C368">IFERROR(INDEX('03.Muestra'!$F$8:$F$42,SMALL(IF("Página Web"='03.Muestra'!$D$8:$D$42,ROW('03.Muestra'!$F$8:$F$42)-MIN(ROW('03.Muestra'!$D$8:$D$42))+1,""),ROW()-360)),"")</f>
        <v>https://www.comunidad.madrid/servicios/informacion-atencion-ciudadano/aviso-legal-privacidad</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Mapa web</v>
      </c>
      <c r="C369" s="114" t="str" cm="1">
        <f t="array" ref="C369">IFERROR(INDEX('03.Muestra'!$F$8:$F$42,SMALL(IF("Página Web"='03.Muestra'!$D$8:$D$42,ROW('03.Muestra'!$F$8:$F$42)-MIN(ROW('03.Muestra'!$D$8:$D$42))+1,""),ROW()-360)),"")</f>
        <v>https://www.comunidad.madrid/sitemap</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Accesibilidad</v>
      </c>
      <c r="C370" s="114" t="str" cm="1">
        <f t="array" ref="C370">IFERROR(INDEX('03.Muestra'!$F$8:$F$42,SMALL(IF("Página Web"='03.Muestra'!$D$8:$D$42,ROW('03.Muestra'!$F$8:$F$42)-MIN(ROW('03.Muestra'!$D$8:$D$42))+1,""),ROW()-360)),"")</f>
        <v>https://www.comunidad.madrid/servicios/informacion-atencion-ciudadano/accesibilidad-web</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ref="D371:D395" si="19">IF(AND(B371&lt;&gt;"",C371&lt;&gt;""),"N/T","")</f>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v>
      </c>
      <c r="D399" s="130" t="s">
        <v>35</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Servicios e información</v>
      </c>
      <c r="C400" s="114" t="str" cm="1">
        <f t="array" ref="C400">IFERROR(INDEX('03.Muestra'!$F$8:$F$42,SMALL(IF("Página Web"='03.Muestra'!$D$8:$D$42,ROW('03.Muestra'!$F$8:$F$42)-MIN(ROW('03.Muestra'!$D$8:$D$42))+1,""),ROW()-398)),"")</f>
        <v>https://www.comunidad.madrid/servicios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10</v>
      </c>
      <c r="I400" s="120">
        <f ca="1">COUNTIF($D399:INDIRECT("$D" &amp;  SUM(ROW()-1,'03.Muestra'!$D$45)-1),I399)</f>
        <v>0</v>
      </c>
      <c r="J400" s="120">
        <f ca="1">COUNTIF($D399:INDIRECT("$D" &amp;  SUM(ROW()-1,'03.Muestra'!$D$45)-1),J399)</f>
        <v>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Cultura y turismo</v>
      </c>
      <c r="C401" s="114" t="str" cm="1">
        <f t="array" ref="C401">IFERROR(INDEX('03.Muestra'!$F$8:$F$42,SMALL(IF("Página Web"='03.Muestra'!$D$8:$D$42,ROW('03.Muestra'!$F$8:$F$42)-MIN(ROW('03.Muestra'!$D$8:$D$42))+1,""),ROW()-398)),"")</f>
        <v>https://www.comunidad.madrid/cultura</v>
      </c>
      <c r="D401" s="130" t="s">
        <v>35</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Inversión y empresa</v>
      </c>
      <c r="C402" s="114" t="str" cm="1">
        <f t="array" ref="C402">IFERROR(INDEX('03.Muestra'!$F$8:$F$42,SMALL(IF("Página Web"='03.Muestra'!$D$8:$D$42,ROW('03.Muestra'!$F$8:$F$42)-MIN(ROW('03.Muestra'!$D$8:$D$42))+1,""),ROW()-398)),"")</f>
        <v>https://www.comunidad.madrid/inversion</v>
      </c>
      <c r="D402" s="130" t="s">
        <v>35</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Acción de gobierno</v>
      </c>
      <c r="C403" s="114" t="str" cm="1">
        <f t="array" ref="C403">IFERROR(INDEX('03.Muestra'!$F$8:$F$42,SMALL(IF("Página Web"='03.Muestra'!$D$8:$D$42,ROW('03.Muestra'!$F$8:$F$42)-MIN(ROW('03.Muestra'!$D$8:$D$42))+1,""),ROW()-398)),"")</f>
        <v>https://www.comunidad.madrid/gobierno</v>
      </c>
      <c r="D403" s="130" t="s">
        <v>35</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Video</v>
      </c>
      <c r="C404" s="114" t="str" cm="1">
        <f t="array" ref="C404">IFERROR(INDEX('03.Muestra'!$F$8:$F$42,SMALL(IF("Página Web"='03.Muestra'!$D$8:$D$42,ROW('03.Muestra'!$F$8:$F$42)-MIN(ROW('03.Muestra'!$D$8:$D$42))+1,""),ROW()-398)),"")</f>
        <v>https://www.comunidad.madrid/noticias/2023/12/18/diaz-ayuso-reconoce-35-personas-han-realizado-actuaciones-extraordinarias-ayuda-servicio-metro-este-ano-representan-valores-madrid</v>
      </c>
      <c r="D404" s="130" t="s">
        <v>35</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Contacto</v>
      </c>
      <c r="C405" s="114" t="str" cm="1">
        <f t="array" ref="C405">IFERROR(INDEX('03.Muestra'!$F$8:$F$42,SMALL(IF("Página Web"='03.Muestra'!$D$8:$D$42,ROW('03.Muestra'!$F$8:$F$42)-MIN(ROW('03.Muestra'!$D$8:$D$42))+1,""),ROW()-398)),"")</f>
        <v>https://www.comunidad.madrid/servicios/atencion-ciudadano</v>
      </c>
      <c r="D405" s="130" t="s">
        <v>35</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Aviso Legal</v>
      </c>
      <c r="C406" s="114" t="str" cm="1">
        <f t="array" ref="C406">IFERROR(INDEX('03.Muestra'!$F$8:$F$42,SMALL(IF("Página Web"='03.Muestra'!$D$8:$D$42,ROW('03.Muestra'!$F$8:$F$42)-MIN(ROW('03.Muestra'!$D$8:$D$42))+1,""),ROW()-398)),"")</f>
        <v>https://www.comunidad.madrid/servicios/informacion-atencion-ciudadano/aviso-legal-privacidad</v>
      </c>
      <c r="D406" s="130" t="s">
        <v>35</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Mapa web</v>
      </c>
      <c r="C407" s="114" t="str" cm="1">
        <f t="array" ref="C407">IFERROR(INDEX('03.Muestra'!$F$8:$F$42,SMALL(IF("Página Web"='03.Muestra'!$D$8:$D$42,ROW('03.Muestra'!$F$8:$F$42)-MIN(ROW('03.Muestra'!$D$8:$D$42))+1,""),ROW()-398)),"")</f>
        <v>https://www.comunidad.madrid/sitemap</v>
      </c>
      <c r="D407" s="130" t="s">
        <v>35</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Accesibilidad</v>
      </c>
      <c r="C408" s="114" t="str" cm="1">
        <f t="array" ref="C408">IFERROR(INDEX('03.Muestra'!$F$8:$F$42,SMALL(IF("Página Web"='03.Muestra'!$D$8:$D$42,ROW('03.Muestra'!$F$8:$F$42)-MIN(ROW('03.Muestra'!$D$8:$D$42))+1,""),ROW()-398)),"")</f>
        <v>https://www.comunidad.madrid/servicios/informacion-atencion-ciudadano/accesibilidad-web</v>
      </c>
      <c r="D408" s="130" t="s">
        <v>35</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ref="D409:D433" si="21">IF(AND(B409&lt;&gt;"",C409&lt;&gt;""),"N/T","")</f>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Servicios e información</v>
      </c>
      <c r="C438" s="114" t="str" cm="1">
        <f t="array" ref="C438">IFERROR(INDEX('03.Muestra'!$F$8:$F$42,SMALL(IF("Página Web"='03.Muestra'!$D$8:$D$42,ROW('03.Muestra'!$F$8:$F$42)-MIN(ROW('03.Muestra'!$D$8:$D$42))+1,""),ROW()-436)),"")</f>
        <v>https://www.comunidad.madrid/servicios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8</v>
      </c>
      <c r="I438" s="120">
        <f ca="1">COUNTIF($D437:INDIRECT("$D" &amp;  SUM(ROW()-1,'03.Muestra'!$D$45)-1),I437)</f>
        <v>0</v>
      </c>
      <c r="J438" s="120">
        <f ca="1">COUNTIF($D437:INDIRECT("$D" &amp;  SUM(ROW()-1,'03.Muestra'!$D$45)-1),J437)</f>
        <v>2</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Cultura y turismo</v>
      </c>
      <c r="C439" s="114" t="str" cm="1">
        <f t="array" ref="C439">IFERROR(INDEX('03.Muestra'!$F$8:$F$42,SMALL(IF("Página Web"='03.Muestra'!$D$8:$D$42,ROW('03.Muestra'!$F$8:$F$42)-MIN(ROW('03.Muestra'!$D$8:$D$42))+1,""),ROW()-436)),"")</f>
        <v>https://www.comunidad.madrid/cultura</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Inversión y empresa</v>
      </c>
      <c r="C440" s="114" t="str" cm="1">
        <f t="array" ref="C440">IFERROR(INDEX('03.Muestra'!$F$8:$F$42,SMALL(IF("Página Web"='03.Muestra'!$D$8:$D$42,ROW('03.Muestra'!$F$8:$F$42)-MIN(ROW('03.Muestra'!$D$8:$D$42))+1,""),ROW()-436)),"")</f>
        <v>https://www.comunidad.madrid/inversion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Acción de gobierno</v>
      </c>
      <c r="C441" s="114" t="str" cm="1">
        <f t="array" ref="C441">IFERROR(INDEX('03.Muestra'!$F$8:$F$42,SMALL(IF("Página Web"='03.Muestra'!$D$8:$D$42,ROW('03.Muestra'!$F$8:$F$42)-MIN(ROW('03.Muestra'!$D$8:$D$42))+1,""),ROW()-436)),"")</f>
        <v>https://www.comunidad.madrid/gobierno</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Video</v>
      </c>
      <c r="C442" s="114" t="str" cm="1">
        <f t="array" ref="C442">IFERROR(INDEX('03.Muestra'!$F$8:$F$42,SMALL(IF("Página Web"='03.Muestra'!$D$8:$D$42,ROW('03.Muestra'!$F$8:$F$42)-MIN(ROW('03.Muestra'!$D$8:$D$42))+1,""),ROW()-436)),"")</f>
        <v>https://www.comunidad.madrid/noticias/2023/12/18/diaz-ayuso-reconoce-35-personas-han-realizado-actuaciones-extraordinarias-ayuda-servicio-metro-este-ano-representan-valores-madrid</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Contacto</v>
      </c>
      <c r="C443" s="114" t="str" cm="1">
        <f t="array" ref="C443">IFERROR(INDEX('03.Muestra'!$F$8:$F$42,SMALL(IF("Página Web"='03.Muestra'!$D$8:$D$42,ROW('03.Muestra'!$F$8:$F$42)-MIN(ROW('03.Muestra'!$D$8:$D$42))+1,""),ROW()-436)),"")</f>
        <v>https://www.comunidad.madrid/servicios/atencion-ciudadano</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Aviso Legal</v>
      </c>
      <c r="C444" s="114" t="str" cm="1">
        <f t="array" ref="C444">IFERROR(INDEX('03.Muestra'!$F$8:$F$42,SMALL(IF("Página Web"='03.Muestra'!$D$8:$D$42,ROW('03.Muestra'!$F$8:$F$42)-MIN(ROW('03.Muestra'!$D$8:$D$42))+1,""),ROW()-436)),"")</f>
        <v>https://www.comunidad.madrid/servicios/informacion-atencion-ciudadano/aviso-legal-privacidad</v>
      </c>
      <c r="D444" s="130" t="s">
        <v>26</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Mapa web</v>
      </c>
      <c r="C445" s="114" t="str" cm="1">
        <f t="array" ref="C445">IFERROR(INDEX('03.Muestra'!$F$8:$F$42,SMALL(IF("Página Web"='03.Muestra'!$D$8:$D$42,ROW('03.Muestra'!$F$8:$F$42)-MIN(ROW('03.Muestra'!$D$8:$D$42))+1,""),ROW()-436)),"")</f>
        <v>https://www.comunidad.madrid/sitemap</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Accesibilidad</v>
      </c>
      <c r="C446" s="114" t="str" cm="1">
        <f t="array" ref="C446">IFERROR(INDEX('03.Muestra'!$F$8:$F$42,SMALL(IF("Página Web"='03.Muestra'!$D$8:$D$42,ROW('03.Muestra'!$F$8:$F$42)-MIN(ROW('03.Muestra'!$D$8:$D$42))+1,""),ROW()-436)),"")</f>
        <v>https://www.comunidad.madrid/servicios/informacion-atencion-ciudadano/accesibilidad-web</v>
      </c>
      <c r="D446" s="130" t="s">
        <v>26</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ref="D447:D471" si="23">IF(AND(B447&lt;&gt;"",C447&lt;&gt;""),"N/T","")</f>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Servicios e información</v>
      </c>
      <c r="C476" s="114" t="str" cm="1">
        <f t="array" ref="C476">IFERROR(INDEX('03.Muestra'!$F$8:$F$42,SMALL(IF("Página Web"='03.Muestra'!$D$8:$D$42,ROW('03.Muestra'!$F$8:$F$42)-MIN(ROW('03.Muestra'!$D$8:$D$42))+1,""),ROW()-474)),"")</f>
        <v>https://www.comunidad.madrid/servicios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Cultura y turismo</v>
      </c>
      <c r="C477" s="114" t="str" cm="1">
        <f t="array" ref="C477">IFERROR(INDEX('03.Muestra'!$F$8:$F$42,SMALL(IF("Página Web"='03.Muestra'!$D$8:$D$42,ROW('03.Muestra'!$F$8:$F$42)-MIN(ROW('03.Muestra'!$D$8:$D$42))+1,""),ROW()-474)),"")</f>
        <v>https://www.comunidad.madrid/cultura</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Inversión y empresa</v>
      </c>
      <c r="C478" s="114" t="str" cm="1">
        <f t="array" ref="C478">IFERROR(INDEX('03.Muestra'!$F$8:$F$42,SMALL(IF("Página Web"='03.Muestra'!$D$8:$D$42,ROW('03.Muestra'!$F$8:$F$42)-MIN(ROW('03.Muestra'!$D$8:$D$42))+1,""),ROW()-474)),"")</f>
        <v>https://www.comunidad.madrid/inversion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Acción de gobierno</v>
      </c>
      <c r="C479" s="114" t="str" cm="1">
        <f t="array" ref="C479">IFERROR(INDEX('03.Muestra'!$F$8:$F$42,SMALL(IF("Página Web"='03.Muestra'!$D$8:$D$42,ROW('03.Muestra'!$F$8:$F$42)-MIN(ROW('03.Muestra'!$D$8:$D$42))+1,""),ROW()-474)),"")</f>
        <v>https://www.comunidad.madrid/gobierno</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Video</v>
      </c>
      <c r="C480" s="114" t="str" cm="1">
        <f t="array" ref="C480">IFERROR(INDEX('03.Muestra'!$F$8:$F$42,SMALL(IF("Página Web"='03.Muestra'!$D$8:$D$42,ROW('03.Muestra'!$F$8:$F$42)-MIN(ROW('03.Muestra'!$D$8:$D$42))+1,""),ROW()-474)),"")</f>
        <v>https://www.comunidad.madrid/noticias/2023/12/18/diaz-ayuso-reconoce-35-personas-han-realizado-actuaciones-extraordinarias-ayuda-servicio-metro-este-ano-representan-valores-madrid</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Contacto</v>
      </c>
      <c r="C481" s="114" t="str" cm="1">
        <f t="array" ref="C481">IFERROR(INDEX('03.Muestra'!$F$8:$F$42,SMALL(IF("Página Web"='03.Muestra'!$D$8:$D$42,ROW('03.Muestra'!$F$8:$F$42)-MIN(ROW('03.Muestra'!$D$8:$D$42))+1,""),ROW()-474)),"")</f>
        <v>https://www.comunidad.madrid/servicios/atencion-ciudadano</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Aviso Legal</v>
      </c>
      <c r="C482" s="114" t="str" cm="1">
        <f t="array" ref="C482">IFERROR(INDEX('03.Muestra'!$F$8:$F$42,SMALL(IF("Página Web"='03.Muestra'!$D$8:$D$42,ROW('03.Muestra'!$F$8:$F$42)-MIN(ROW('03.Muestra'!$D$8:$D$42))+1,""),ROW()-474)),"")</f>
        <v>https://www.comunidad.madrid/servicios/informacion-atencion-ciudadano/aviso-legal-privacidad</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Mapa web</v>
      </c>
      <c r="C483" s="114" t="str" cm="1">
        <f t="array" ref="C483">IFERROR(INDEX('03.Muestra'!$F$8:$F$42,SMALL(IF("Página Web"='03.Muestra'!$D$8:$D$42,ROW('03.Muestra'!$F$8:$F$42)-MIN(ROW('03.Muestra'!$D$8:$D$42))+1,""),ROW()-474)),"")</f>
        <v>https://www.comunidad.madrid/sitemap</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Accesibilidad</v>
      </c>
      <c r="C484" s="114" t="str" cm="1">
        <f t="array" ref="C484">IFERROR(INDEX('03.Muestra'!$F$8:$F$42,SMALL(IF("Página Web"='03.Muestra'!$D$8:$D$42,ROW('03.Muestra'!$F$8:$F$42)-MIN(ROW('03.Muestra'!$D$8:$D$42))+1,""),ROW()-474)),"")</f>
        <v>https://www.comunidad.madrid/servicios/informacion-atencion-ciudadano/accesibilidad-web</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ref="D485:D509" si="25">IF(AND(B485&lt;&gt;"",C485&lt;&gt;""),"N/T","")</f>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v>
      </c>
      <c r="D513" s="130" t="s">
        <v>26</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Servicios e información</v>
      </c>
      <c r="C514" s="114" t="str" cm="1">
        <f t="array" ref="C514">IFERROR(INDEX('03.Muestra'!$F$8:$F$42,SMALL(IF("Página Web"='03.Muestra'!$D$8:$D$42,ROW('03.Muestra'!$F$8:$F$42)-MIN(ROW('03.Muestra'!$D$8:$D$42))+1,""),ROW()-512)),"")</f>
        <v>https://www.comunidad.madrid/servicios</v>
      </c>
      <c r="D514" s="130" t="s">
        <v>26</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10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Cultura y turismo</v>
      </c>
      <c r="C515" s="114" t="str" cm="1">
        <f t="array" ref="C515">IFERROR(INDEX('03.Muestra'!$F$8:$F$42,SMALL(IF("Página Web"='03.Muestra'!$D$8:$D$42,ROW('03.Muestra'!$F$8:$F$42)-MIN(ROW('03.Muestra'!$D$8:$D$42))+1,""),ROW()-512)),"")</f>
        <v>https://www.comunidad.madrid/cultura</v>
      </c>
      <c r="D515" s="130" t="s">
        <v>26</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Inversión y empresa</v>
      </c>
      <c r="C516" s="114" t="str" cm="1">
        <f t="array" ref="C516">IFERROR(INDEX('03.Muestra'!$F$8:$F$42,SMALL(IF("Página Web"='03.Muestra'!$D$8:$D$42,ROW('03.Muestra'!$F$8:$F$42)-MIN(ROW('03.Muestra'!$D$8:$D$42))+1,""),ROW()-512)),"")</f>
        <v>https://www.comunidad.madrid/inversion</v>
      </c>
      <c r="D516" s="130" t="s">
        <v>26</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Acción de gobierno</v>
      </c>
      <c r="C517" s="114" t="str" cm="1">
        <f t="array" ref="C517">IFERROR(INDEX('03.Muestra'!$F$8:$F$42,SMALL(IF("Página Web"='03.Muestra'!$D$8:$D$42,ROW('03.Muestra'!$F$8:$F$42)-MIN(ROW('03.Muestra'!$D$8:$D$42))+1,""),ROW()-512)),"")</f>
        <v>https://www.comunidad.madrid/gobierno</v>
      </c>
      <c r="D517" s="130" t="s">
        <v>26</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Video</v>
      </c>
      <c r="C518" s="114" t="str" cm="1">
        <f t="array" ref="C518">IFERROR(INDEX('03.Muestra'!$F$8:$F$42,SMALL(IF("Página Web"='03.Muestra'!$D$8:$D$42,ROW('03.Muestra'!$F$8:$F$42)-MIN(ROW('03.Muestra'!$D$8:$D$42))+1,""),ROW()-512)),"")</f>
        <v>https://www.comunidad.madrid/noticias/2023/12/18/diaz-ayuso-reconoce-35-personas-han-realizado-actuaciones-extraordinarias-ayuda-servicio-metro-este-ano-representan-valores-madrid</v>
      </c>
      <c r="D518" s="130" t="s">
        <v>26</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Contacto</v>
      </c>
      <c r="C519" s="114" t="str" cm="1">
        <f t="array" ref="C519">IFERROR(INDEX('03.Muestra'!$F$8:$F$42,SMALL(IF("Página Web"='03.Muestra'!$D$8:$D$42,ROW('03.Muestra'!$F$8:$F$42)-MIN(ROW('03.Muestra'!$D$8:$D$42))+1,""),ROW()-512)),"")</f>
        <v>https://www.comunidad.madrid/servicios/atencion-ciudadano</v>
      </c>
      <c r="D519" s="130" t="s">
        <v>26</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Aviso Legal</v>
      </c>
      <c r="C520" s="114" t="str" cm="1">
        <f t="array" ref="C520">IFERROR(INDEX('03.Muestra'!$F$8:$F$42,SMALL(IF("Página Web"='03.Muestra'!$D$8:$D$42,ROW('03.Muestra'!$F$8:$F$42)-MIN(ROW('03.Muestra'!$D$8:$D$42))+1,""),ROW()-512)),"")</f>
        <v>https://www.comunidad.madrid/servicios/informacion-atencion-ciudadano/aviso-legal-privacidad</v>
      </c>
      <c r="D520" s="130" t="s">
        <v>26</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Mapa web</v>
      </c>
      <c r="C521" s="114" t="str" cm="1">
        <f t="array" ref="C521">IFERROR(INDEX('03.Muestra'!$F$8:$F$42,SMALL(IF("Página Web"='03.Muestra'!$D$8:$D$42,ROW('03.Muestra'!$F$8:$F$42)-MIN(ROW('03.Muestra'!$D$8:$D$42))+1,""),ROW()-512)),"")</f>
        <v>https://www.comunidad.madrid/sitemap</v>
      </c>
      <c r="D521" s="130" t="s">
        <v>26</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Accesibilidad</v>
      </c>
      <c r="C522" s="114" t="str" cm="1">
        <f t="array" ref="C522">IFERROR(INDEX('03.Muestra'!$F$8:$F$42,SMALL(IF("Página Web"='03.Muestra'!$D$8:$D$42,ROW('03.Muestra'!$F$8:$F$42)-MIN(ROW('03.Muestra'!$D$8:$D$42))+1,""),ROW()-512)),"")</f>
        <v>https://www.comunidad.madrid/servicios/informacion-atencion-ciudadano/accesibilidad-web</v>
      </c>
      <c r="D522" s="130" t="s">
        <v>26</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ref="D523:D547" si="27">IF(AND(B523&lt;&gt;"",C523&lt;&gt;""),"N/T","")</f>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Servicios e información</v>
      </c>
      <c r="C552" s="114" t="str" cm="1">
        <f t="array" ref="C552">IFERROR(INDEX('03.Muestra'!$F$8:$F$42,SMALL(IF("Página Web"='03.Muestra'!$D$8:$D$42,ROW('03.Muestra'!$F$8:$F$42)-MIN(ROW('03.Muestra'!$D$8:$D$42))+1,""),ROW()-550)),"")</f>
        <v>https://www.comunidad.madrid/servicios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Cultura y turismo</v>
      </c>
      <c r="C553" s="114" t="str" cm="1">
        <f t="array" ref="C553">IFERROR(INDEX('03.Muestra'!$F$8:$F$42,SMALL(IF("Página Web"='03.Muestra'!$D$8:$D$42,ROW('03.Muestra'!$F$8:$F$42)-MIN(ROW('03.Muestra'!$D$8:$D$42))+1,""),ROW()-550)),"")</f>
        <v>https://www.comunidad.madrid/cultura</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Inversión y empresa</v>
      </c>
      <c r="C554" s="114" t="str" cm="1">
        <f t="array" ref="C554">IFERROR(INDEX('03.Muestra'!$F$8:$F$42,SMALL(IF("Página Web"='03.Muestra'!$D$8:$D$42,ROW('03.Muestra'!$F$8:$F$42)-MIN(ROW('03.Muestra'!$D$8:$D$42))+1,""),ROW()-550)),"")</f>
        <v>https://www.comunidad.madrid/inversion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Acción de gobierno</v>
      </c>
      <c r="C555" s="114" t="str" cm="1">
        <f t="array" ref="C555">IFERROR(INDEX('03.Muestra'!$F$8:$F$42,SMALL(IF("Página Web"='03.Muestra'!$D$8:$D$42,ROW('03.Muestra'!$F$8:$F$42)-MIN(ROW('03.Muestra'!$D$8:$D$42))+1,""),ROW()-550)),"")</f>
        <v>https://www.comunidad.madrid/gobierno</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Video</v>
      </c>
      <c r="C556" s="114" t="str" cm="1">
        <f t="array" ref="C556">IFERROR(INDEX('03.Muestra'!$F$8:$F$42,SMALL(IF("Página Web"='03.Muestra'!$D$8:$D$42,ROW('03.Muestra'!$F$8:$F$42)-MIN(ROW('03.Muestra'!$D$8:$D$42))+1,""),ROW()-550)),"")</f>
        <v>https://www.comunidad.madrid/noticias/2023/12/18/diaz-ayuso-reconoce-35-personas-han-realizado-actuaciones-extraordinarias-ayuda-servicio-metro-este-ano-representan-valores-madrid</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Contacto</v>
      </c>
      <c r="C557" s="114" t="str" cm="1">
        <f t="array" ref="C557">IFERROR(INDEX('03.Muestra'!$F$8:$F$42,SMALL(IF("Página Web"='03.Muestra'!$D$8:$D$42,ROW('03.Muestra'!$F$8:$F$42)-MIN(ROW('03.Muestra'!$D$8:$D$42))+1,""),ROW()-550)),"")</f>
        <v>https://www.comunidad.madrid/servicios/atencion-ciudadano</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Aviso Legal</v>
      </c>
      <c r="C558" s="114" t="str" cm="1">
        <f t="array" ref="C558">IFERROR(INDEX('03.Muestra'!$F$8:$F$42,SMALL(IF("Página Web"='03.Muestra'!$D$8:$D$42,ROW('03.Muestra'!$F$8:$F$42)-MIN(ROW('03.Muestra'!$D$8:$D$42))+1,""),ROW()-550)),"")</f>
        <v>https://www.comunidad.madrid/servicios/informacion-atencion-ciudadano/aviso-legal-privacidad</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Mapa web</v>
      </c>
      <c r="C559" s="114" t="str" cm="1">
        <f t="array" ref="C559">IFERROR(INDEX('03.Muestra'!$F$8:$F$42,SMALL(IF("Página Web"='03.Muestra'!$D$8:$D$42,ROW('03.Muestra'!$F$8:$F$42)-MIN(ROW('03.Muestra'!$D$8:$D$42))+1,""),ROW()-550)),"")</f>
        <v>https://www.comunidad.madrid/sitemap</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Accesibilidad</v>
      </c>
      <c r="C560" s="114" t="str" cm="1">
        <f t="array" ref="C560">IFERROR(INDEX('03.Muestra'!$F$8:$F$42,SMALL(IF("Página Web"='03.Muestra'!$D$8:$D$42,ROW('03.Muestra'!$F$8:$F$42)-MIN(ROW('03.Muestra'!$D$8:$D$42))+1,""),ROW()-550)),"")</f>
        <v>https://www.comunidad.madrid/servicios/informacion-atencion-ciudadano/accesibilidad-web</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ref="D561:D585" si="29">IF(AND(B561&lt;&gt;"",C561&lt;&gt;""),"N/T","")</f>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v>
      </c>
      <c r="D589" s="130" t="s">
        <v>28</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Servicios e información</v>
      </c>
      <c r="C590" s="114" t="str" cm="1">
        <f t="array" ref="C590">IFERROR(INDEX('03.Muestra'!$F$8:$F$42,SMALL(IF("Página Web"='03.Muestra'!$D$8:$D$42,ROW('03.Muestra'!$F$8:$F$42)-MIN(ROW('03.Muestra'!$D$8:$D$42))+1,""),ROW()-588)),"")</f>
        <v>https://www.comunidad.madrid/servicios</v>
      </c>
      <c r="D590" s="130" t="s">
        <v>28</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10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Cultura y turismo</v>
      </c>
      <c r="C591" s="114" t="str" cm="1">
        <f t="array" ref="C591">IFERROR(INDEX('03.Muestra'!$F$8:$F$42,SMALL(IF("Página Web"='03.Muestra'!$D$8:$D$42,ROW('03.Muestra'!$F$8:$F$42)-MIN(ROW('03.Muestra'!$D$8:$D$42))+1,""),ROW()-588)),"")</f>
        <v>https://www.comunidad.madrid/cultura</v>
      </c>
      <c r="D591" s="130" t="s">
        <v>28</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Inversión y empresa</v>
      </c>
      <c r="C592" s="114" t="str" cm="1">
        <f t="array" ref="C592">IFERROR(INDEX('03.Muestra'!$F$8:$F$42,SMALL(IF("Página Web"='03.Muestra'!$D$8:$D$42,ROW('03.Muestra'!$F$8:$F$42)-MIN(ROW('03.Muestra'!$D$8:$D$42))+1,""),ROW()-588)),"")</f>
        <v>https://www.comunidad.madrid/inversion</v>
      </c>
      <c r="D592" s="130" t="s">
        <v>28</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Acción de gobierno</v>
      </c>
      <c r="C593" s="114" t="str" cm="1">
        <f t="array" ref="C593">IFERROR(INDEX('03.Muestra'!$F$8:$F$42,SMALL(IF("Página Web"='03.Muestra'!$D$8:$D$42,ROW('03.Muestra'!$F$8:$F$42)-MIN(ROW('03.Muestra'!$D$8:$D$42))+1,""),ROW()-588)),"")</f>
        <v>https://www.comunidad.madrid/gobierno</v>
      </c>
      <c r="D593" s="130" t="s">
        <v>28</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Video</v>
      </c>
      <c r="C594" s="114" t="str" cm="1">
        <f t="array" ref="C594">IFERROR(INDEX('03.Muestra'!$F$8:$F$42,SMALL(IF("Página Web"='03.Muestra'!$D$8:$D$42,ROW('03.Muestra'!$F$8:$F$42)-MIN(ROW('03.Muestra'!$D$8:$D$42))+1,""),ROW()-588)),"")</f>
        <v>https://www.comunidad.madrid/noticias/2023/12/18/diaz-ayuso-reconoce-35-personas-han-realizado-actuaciones-extraordinarias-ayuda-servicio-metro-este-ano-representan-valores-madrid</v>
      </c>
      <c r="D594" s="130" t="s">
        <v>28</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Contacto</v>
      </c>
      <c r="C595" s="114" t="str" cm="1">
        <f t="array" ref="C595">IFERROR(INDEX('03.Muestra'!$F$8:$F$42,SMALL(IF("Página Web"='03.Muestra'!$D$8:$D$42,ROW('03.Muestra'!$F$8:$F$42)-MIN(ROW('03.Muestra'!$D$8:$D$42))+1,""),ROW()-588)),"")</f>
        <v>https://www.comunidad.madrid/servicios/atencion-ciudadano</v>
      </c>
      <c r="D595" s="130" t="s">
        <v>28</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Aviso Legal</v>
      </c>
      <c r="C596" s="114" t="str" cm="1">
        <f t="array" ref="C596">IFERROR(INDEX('03.Muestra'!$F$8:$F$42,SMALL(IF("Página Web"='03.Muestra'!$D$8:$D$42,ROW('03.Muestra'!$F$8:$F$42)-MIN(ROW('03.Muestra'!$D$8:$D$42))+1,""),ROW()-588)),"")</f>
        <v>https://www.comunidad.madrid/servicios/informacion-atencion-ciudadano/aviso-legal-privacidad</v>
      </c>
      <c r="D596" s="130" t="s">
        <v>28</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Mapa web</v>
      </c>
      <c r="C597" s="114" t="str" cm="1">
        <f t="array" ref="C597">IFERROR(INDEX('03.Muestra'!$F$8:$F$42,SMALL(IF("Página Web"='03.Muestra'!$D$8:$D$42,ROW('03.Muestra'!$F$8:$F$42)-MIN(ROW('03.Muestra'!$D$8:$D$42))+1,""),ROW()-588)),"")</f>
        <v>https://www.comunidad.madrid/sitemap</v>
      </c>
      <c r="D597" s="130" t="s">
        <v>28</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Accesibilidad</v>
      </c>
      <c r="C598" s="114" t="str" cm="1">
        <f t="array" ref="C598">IFERROR(INDEX('03.Muestra'!$F$8:$F$42,SMALL(IF("Página Web"='03.Muestra'!$D$8:$D$42,ROW('03.Muestra'!$F$8:$F$42)-MIN(ROW('03.Muestra'!$D$8:$D$42))+1,""),ROW()-588)),"")</f>
        <v>https://www.comunidad.madrid/servicios/informacion-atencion-ciudadano/accesibilidad-web</v>
      </c>
      <c r="D598" s="130" t="s">
        <v>28</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ref="D599:D623" si="31">IF(AND(B599&lt;&gt;"",C599&lt;&gt;""),"N/T","")</f>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Servicios e información</v>
      </c>
      <c r="C628" s="114" t="str" cm="1">
        <f t="array" ref="C628">IFERROR(INDEX('03.Muestra'!$F$8:$F$42,SMALL(IF("Página Web"='03.Muestra'!$D$8:$D$42,ROW('03.Muestra'!$F$8:$F$42)-MIN(ROW('03.Muestra'!$D$8:$D$42))+1,""),ROW()-626)),"")</f>
        <v>https://www.comunidad.madrid/servicios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10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Cultura y turismo</v>
      </c>
      <c r="C629" s="114" t="str" cm="1">
        <f t="array" ref="C629">IFERROR(INDEX('03.Muestra'!$F$8:$F$42,SMALL(IF("Página Web"='03.Muestra'!$D$8:$D$42,ROW('03.Muestra'!$F$8:$F$42)-MIN(ROW('03.Muestra'!$D$8:$D$42))+1,""),ROW()-626)),"")</f>
        <v>https://www.comunidad.madrid/cultura</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Inversión y empresa</v>
      </c>
      <c r="C630" s="114" t="str" cm="1">
        <f t="array" ref="C630">IFERROR(INDEX('03.Muestra'!$F$8:$F$42,SMALL(IF("Página Web"='03.Muestra'!$D$8:$D$42,ROW('03.Muestra'!$F$8:$F$42)-MIN(ROW('03.Muestra'!$D$8:$D$42))+1,""),ROW()-626)),"")</f>
        <v>https://www.comunidad.madrid/inversion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Acción de gobierno</v>
      </c>
      <c r="C631" s="114" t="str" cm="1">
        <f t="array" ref="C631">IFERROR(INDEX('03.Muestra'!$F$8:$F$42,SMALL(IF("Página Web"='03.Muestra'!$D$8:$D$42,ROW('03.Muestra'!$F$8:$F$42)-MIN(ROW('03.Muestra'!$D$8:$D$42))+1,""),ROW()-626)),"")</f>
        <v>https://www.comunidad.madrid/gobierno</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Video</v>
      </c>
      <c r="C632" s="114" t="str" cm="1">
        <f t="array" ref="C632">IFERROR(INDEX('03.Muestra'!$F$8:$F$42,SMALL(IF("Página Web"='03.Muestra'!$D$8:$D$42,ROW('03.Muestra'!$F$8:$F$42)-MIN(ROW('03.Muestra'!$D$8:$D$42))+1,""),ROW()-626)),"")</f>
        <v>https://www.comunidad.madrid/noticias/2023/12/18/diaz-ayuso-reconoce-35-personas-han-realizado-actuaciones-extraordinarias-ayuda-servicio-metro-este-ano-representan-valores-madrid</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Contacto</v>
      </c>
      <c r="C633" s="114" t="str" cm="1">
        <f t="array" ref="C633">IFERROR(INDEX('03.Muestra'!$F$8:$F$42,SMALL(IF("Página Web"='03.Muestra'!$D$8:$D$42,ROW('03.Muestra'!$F$8:$F$42)-MIN(ROW('03.Muestra'!$D$8:$D$42))+1,""),ROW()-626)),"")</f>
        <v>https://www.comunidad.madrid/servicios/atencion-ciudadano</v>
      </c>
      <c r="D633" s="130" t="s">
        <v>26</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Aviso Legal</v>
      </c>
      <c r="C634" s="114" t="str" cm="1">
        <f t="array" ref="C634">IFERROR(INDEX('03.Muestra'!$F$8:$F$42,SMALL(IF("Página Web"='03.Muestra'!$D$8:$D$42,ROW('03.Muestra'!$F$8:$F$42)-MIN(ROW('03.Muestra'!$D$8:$D$42))+1,""),ROW()-626)),"")</f>
        <v>https://www.comunidad.madrid/servicios/informacion-atencion-ciudadano/aviso-legal-privacidad</v>
      </c>
      <c r="D634" s="130" t="s">
        <v>26</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Mapa web</v>
      </c>
      <c r="C635" s="114" t="str" cm="1">
        <f t="array" ref="C635">IFERROR(INDEX('03.Muestra'!$F$8:$F$42,SMALL(IF("Página Web"='03.Muestra'!$D$8:$D$42,ROW('03.Muestra'!$F$8:$F$42)-MIN(ROW('03.Muestra'!$D$8:$D$42))+1,""),ROW()-626)),"")</f>
        <v>https://www.comunidad.madrid/sitemap</v>
      </c>
      <c r="D635" s="130" t="s">
        <v>26</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Accesibilidad</v>
      </c>
      <c r="C636" s="114" t="str" cm="1">
        <f t="array" ref="C636">IFERROR(INDEX('03.Muestra'!$F$8:$F$42,SMALL(IF("Página Web"='03.Muestra'!$D$8:$D$42,ROW('03.Muestra'!$F$8:$F$42)-MIN(ROW('03.Muestra'!$D$8:$D$42))+1,""),ROW()-626)),"")</f>
        <v>https://www.comunidad.madrid/servicios/informacion-atencion-ciudadano/accesibilidad-web</v>
      </c>
      <c r="D636" s="130" t="s">
        <v>26</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ref="D637:D661" si="33">IF(AND(B637&lt;&gt;"",C637&lt;&gt;""),"N/T","")</f>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Servicios e información</v>
      </c>
      <c r="C666" s="114" t="str" cm="1">
        <f t="array" ref="C666">IFERROR(INDEX('03.Muestra'!$F$8:$F$42,SMALL(IF("Página Web"='03.Muestra'!$D$8:$D$42,ROW('03.Muestra'!$F$8:$F$42)-MIN(ROW('03.Muestra'!$D$8:$D$42))+1,""),ROW()-664)),"")</f>
        <v>https://www.comunidad.madrid/servicios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Cultura y turismo</v>
      </c>
      <c r="C667" s="114" t="str" cm="1">
        <f t="array" ref="C667">IFERROR(INDEX('03.Muestra'!$F$8:$F$42,SMALL(IF("Página Web"='03.Muestra'!$D$8:$D$42,ROW('03.Muestra'!$F$8:$F$42)-MIN(ROW('03.Muestra'!$D$8:$D$42))+1,""),ROW()-664)),"")</f>
        <v>https://www.comunidad.madrid/cultura</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Inversión y empresa</v>
      </c>
      <c r="C668" s="114" t="str" cm="1">
        <f t="array" ref="C668">IFERROR(INDEX('03.Muestra'!$F$8:$F$42,SMALL(IF("Página Web"='03.Muestra'!$D$8:$D$42,ROW('03.Muestra'!$F$8:$F$42)-MIN(ROW('03.Muestra'!$D$8:$D$42))+1,""),ROW()-664)),"")</f>
        <v>https://www.comunidad.madrid/inversion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Acción de gobierno</v>
      </c>
      <c r="C669" s="114" t="str" cm="1">
        <f t="array" ref="C669">IFERROR(INDEX('03.Muestra'!$F$8:$F$42,SMALL(IF("Página Web"='03.Muestra'!$D$8:$D$42,ROW('03.Muestra'!$F$8:$F$42)-MIN(ROW('03.Muestra'!$D$8:$D$42))+1,""),ROW()-664)),"")</f>
        <v>https://www.comunidad.madrid/gobierno</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Video</v>
      </c>
      <c r="C670" s="114" t="str" cm="1">
        <f t="array" ref="C670">IFERROR(INDEX('03.Muestra'!$F$8:$F$42,SMALL(IF("Página Web"='03.Muestra'!$D$8:$D$42,ROW('03.Muestra'!$F$8:$F$42)-MIN(ROW('03.Muestra'!$D$8:$D$42))+1,""),ROW()-664)),"")</f>
        <v>https://www.comunidad.madrid/noticias/2023/12/18/diaz-ayuso-reconoce-35-personas-han-realizado-actuaciones-extraordinarias-ayuda-servicio-metro-este-ano-representan-valores-madrid</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Contacto</v>
      </c>
      <c r="C671" s="114" t="str" cm="1">
        <f t="array" ref="C671">IFERROR(INDEX('03.Muestra'!$F$8:$F$42,SMALL(IF("Página Web"='03.Muestra'!$D$8:$D$42,ROW('03.Muestra'!$F$8:$F$42)-MIN(ROW('03.Muestra'!$D$8:$D$42))+1,""),ROW()-664)),"")</f>
        <v>https://www.comunidad.madrid/servicios/atencion-ciudadano</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Aviso Legal</v>
      </c>
      <c r="C672" s="114" t="str" cm="1">
        <f t="array" ref="C672">IFERROR(INDEX('03.Muestra'!$F$8:$F$42,SMALL(IF("Página Web"='03.Muestra'!$D$8:$D$42,ROW('03.Muestra'!$F$8:$F$42)-MIN(ROW('03.Muestra'!$D$8:$D$42))+1,""),ROW()-664)),"")</f>
        <v>https://www.comunidad.madrid/servicios/informacion-atencion-ciudadano/aviso-legal-privacidad</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Mapa web</v>
      </c>
      <c r="C673" s="114" t="str" cm="1">
        <f t="array" ref="C673">IFERROR(INDEX('03.Muestra'!$F$8:$F$42,SMALL(IF("Página Web"='03.Muestra'!$D$8:$D$42,ROW('03.Muestra'!$F$8:$F$42)-MIN(ROW('03.Muestra'!$D$8:$D$42))+1,""),ROW()-664)),"")</f>
        <v>https://www.comunidad.madrid/sitemap</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Accesibilidad</v>
      </c>
      <c r="C674" s="114" t="str" cm="1">
        <f t="array" ref="C674">IFERROR(INDEX('03.Muestra'!$F$8:$F$42,SMALL(IF("Página Web"='03.Muestra'!$D$8:$D$42,ROW('03.Muestra'!$F$8:$F$42)-MIN(ROW('03.Muestra'!$D$8:$D$42))+1,""),ROW()-664)),"")</f>
        <v>https://www.comunidad.madrid/servicios/informacion-atencion-ciudadano/accesibilidad-web</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ref="D675:D699" si="35">IF(AND(B675&lt;&gt;"",C675&lt;&gt;""),"N/T","")</f>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Servicios e información</v>
      </c>
      <c r="C704" s="114" t="str" cm="1">
        <f t="array" ref="C704">IFERROR(INDEX('03.Muestra'!$F$8:$F$42,SMALL(IF("Página Web"='03.Muestra'!$D$8:$D$42,ROW('03.Muestra'!$F$8:$F$42)-MIN(ROW('03.Muestra'!$D$8:$D$42))+1,""),ROW()-702)),"")</f>
        <v>https://www.comunidad.madrid/servicios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Cultura y turismo</v>
      </c>
      <c r="C705" s="114" t="str" cm="1">
        <f t="array" ref="C705">IFERROR(INDEX('03.Muestra'!$F$8:$F$42,SMALL(IF("Página Web"='03.Muestra'!$D$8:$D$42,ROW('03.Muestra'!$F$8:$F$42)-MIN(ROW('03.Muestra'!$D$8:$D$42))+1,""),ROW()-702)),"")</f>
        <v>https://www.comunidad.madrid/cultura</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Inversión y empresa</v>
      </c>
      <c r="C706" s="114" t="str" cm="1">
        <f t="array" ref="C706">IFERROR(INDEX('03.Muestra'!$F$8:$F$42,SMALL(IF("Página Web"='03.Muestra'!$D$8:$D$42,ROW('03.Muestra'!$F$8:$F$42)-MIN(ROW('03.Muestra'!$D$8:$D$42))+1,""),ROW()-702)),"")</f>
        <v>https://www.comunidad.madrid/inversion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Acción de gobierno</v>
      </c>
      <c r="C707" s="114" t="str" cm="1">
        <f t="array" ref="C707">IFERROR(INDEX('03.Muestra'!$F$8:$F$42,SMALL(IF("Página Web"='03.Muestra'!$D$8:$D$42,ROW('03.Muestra'!$F$8:$F$42)-MIN(ROW('03.Muestra'!$D$8:$D$42))+1,""),ROW()-702)),"")</f>
        <v>https://www.comunidad.madrid/gobierno</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Video</v>
      </c>
      <c r="C708" s="114" t="str" cm="1">
        <f t="array" ref="C708">IFERROR(INDEX('03.Muestra'!$F$8:$F$42,SMALL(IF("Página Web"='03.Muestra'!$D$8:$D$42,ROW('03.Muestra'!$F$8:$F$42)-MIN(ROW('03.Muestra'!$D$8:$D$42))+1,""),ROW()-702)),"")</f>
        <v>https://www.comunidad.madrid/noticias/2023/12/18/diaz-ayuso-reconoce-35-personas-han-realizado-actuaciones-extraordinarias-ayuda-servicio-metro-este-ano-representan-valores-madrid</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Contacto</v>
      </c>
      <c r="C709" s="114" t="str" cm="1">
        <f t="array" ref="C709">IFERROR(INDEX('03.Muestra'!$F$8:$F$42,SMALL(IF("Página Web"='03.Muestra'!$D$8:$D$42,ROW('03.Muestra'!$F$8:$F$42)-MIN(ROW('03.Muestra'!$D$8:$D$42))+1,""),ROW()-702)),"")</f>
        <v>https://www.comunidad.madrid/servicios/atencion-ciudadano</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Aviso Legal</v>
      </c>
      <c r="C710" s="114" t="str" cm="1">
        <f t="array" ref="C710">IFERROR(INDEX('03.Muestra'!$F$8:$F$42,SMALL(IF("Página Web"='03.Muestra'!$D$8:$D$42,ROW('03.Muestra'!$F$8:$F$42)-MIN(ROW('03.Muestra'!$D$8:$D$42))+1,""),ROW()-702)),"")</f>
        <v>https://www.comunidad.madrid/servicios/informacion-atencion-ciudadano/aviso-legal-privacidad</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Mapa web</v>
      </c>
      <c r="C711" s="114" t="str" cm="1">
        <f t="array" ref="C711">IFERROR(INDEX('03.Muestra'!$F$8:$F$42,SMALL(IF("Página Web"='03.Muestra'!$D$8:$D$42,ROW('03.Muestra'!$F$8:$F$42)-MIN(ROW('03.Muestra'!$D$8:$D$42))+1,""),ROW()-702)),"")</f>
        <v>https://www.comunidad.madrid/sitemap</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Accesibilidad</v>
      </c>
      <c r="C712" s="114" t="str" cm="1">
        <f t="array" ref="C712">IFERROR(INDEX('03.Muestra'!$F$8:$F$42,SMALL(IF("Página Web"='03.Muestra'!$D$8:$D$42,ROW('03.Muestra'!$F$8:$F$42)-MIN(ROW('03.Muestra'!$D$8:$D$42))+1,""),ROW()-702)),"")</f>
        <v>https://www.comunidad.madrid/servicios/informacion-atencion-ciudadano/accesibilidad-web</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ref="D713:D737" si="37">IF(AND(B713&lt;&gt;"",C713&lt;&gt;""),"N/T","")</f>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Servicios e información</v>
      </c>
      <c r="C742" s="114" t="str" cm="1">
        <f t="array" ref="C742">IFERROR(INDEX('03.Muestra'!$F$8:$F$42,SMALL(IF("Página Web"='03.Muestra'!$D$8:$D$42,ROW('03.Muestra'!$F$8:$F$42)-MIN(ROW('03.Muestra'!$D$8:$D$42))+1,""),ROW()-740)),"")</f>
        <v>https://www.comunidad.madrid/servicios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9</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Cultura y turismo</v>
      </c>
      <c r="C743" s="114" t="str" cm="1">
        <f t="array" ref="C743">IFERROR(INDEX('03.Muestra'!$F$8:$F$42,SMALL(IF("Página Web"='03.Muestra'!$D$8:$D$42,ROW('03.Muestra'!$F$8:$F$42)-MIN(ROW('03.Muestra'!$D$8:$D$42))+1,""),ROW()-740)),"")</f>
        <v>https://www.comunidad.madrid/cultura</v>
      </c>
      <c r="D743" s="130" t="s">
        <v>28</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Inversión y empresa</v>
      </c>
      <c r="C744" s="114" t="str" cm="1">
        <f t="array" ref="C744">IFERROR(INDEX('03.Muestra'!$F$8:$F$42,SMALL(IF("Página Web"='03.Muestra'!$D$8:$D$42,ROW('03.Muestra'!$F$8:$F$42)-MIN(ROW('03.Muestra'!$D$8:$D$42))+1,""),ROW()-740)),"")</f>
        <v>https://www.comunidad.madrid/inversion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Acción de gobierno</v>
      </c>
      <c r="C745" s="114" t="str" cm="1">
        <f t="array" ref="C745">IFERROR(INDEX('03.Muestra'!$F$8:$F$42,SMALL(IF("Página Web"='03.Muestra'!$D$8:$D$42,ROW('03.Muestra'!$F$8:$F$42)-MIN(ROW('03.Muestra'!$D$8:$D$42))+1,""),ROW()-740)),"")</f>
        <v>https://www.comunidad.madrid/gobierno</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Video</v>
      </c>
      <c r="C746" s="114" t="str" cm="1">
        <f t="array" ref="C746">IFERROR(INDEX('03.Muestra'!$F$8:$F$42,SMALL(IF("Página Web"='03.Muestra'!$D$8:$D$42,ROW('03.Muestra'!$F$8:$F$42)-MIN(ROW('03.Muestra'!$D$8:$D$42))+1,""),ROW()-740)),"")</f>
        <v>https://www.comunidad.madrid/noticias/2023/12/18/diaz-ayuso-reconoce-35-personas-han-realizado-actuaciones-extraordinarias-ayuda-servicio-metro-este-ano-representan-valores-madrid</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Contacto</v>
      </c>
      <c r="C747" s="114" t="str" cm="1">
        <f t="array" ref="C747">IFERROR(INDEX('03.Muestra'!$F$8:$F$42,SMALL(IF("Página Web"='03.Muestra'!$D$8:$D$42,ROW('03.Muestra'!$F$8:$F$42)-MIN(ROW('03.Muestra'!$D$8:$D$42))+1,""),ROW()-740)),"")</f>
        <v>https://www.comunidad.madrid/servicios/atencion-ciudadano</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Aviso Legal</v>
      </c>
      <c r="C748" s="114" t="str" cm="1">
        <f t="array" ref="C748">IFERROR(INDEX('03.Muestra'!$F$8:$F$42,SMALL(IF("Página Web"='03.Muestra'!$D$8:$D$42,ROW('03.Muestra'!$F$8:$F$42)-MIN(ROW('03.Muestra'!$D$8:$D$42))+1,""),ROW()-740)),"")</f>
        <v>https://www.comunidad.madrid/servicios/informacion-atencion-ciudadano/aviso-legal-privacidad</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Mapa web</v>
      </c>
      <c r="C749" s="114" t="str" cm="1">
        <f t="array" ref="C749">IFERROR(INDEX('03.Muestra'!$F$8:$F$42,SMALL(IF("Página Web"='03.Muestra'!$D$8:$D$42,ROW('03.Muestra'!$F$8:$F$42)-MIN(ROW('03.Muestra'!$D$8:$D$42))+1,""),ROW()-740)),"")</f>
        <v>https://www.comunidad.madrid/sitemap</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Accesibilidad</v>
      </c>
      <c r="C750" s="114" t="str" cm="1">
        <f t="array" ref="C750">IFERROR(INDEX('03.Muestra'!$F$8:$F$42,SMALL(IF("Página Web"='03.Muestra'!$D$8:$D$42,ROW('03.Muestra'!$F$8:$F$42)-MIN(ROW('03.Muestra'!$D$8:$D$42))+1,""),ROW()-740)),"")</f>
        <v>https://www.comunidad.madrid/servicios/informacion-atencion-ciudadano/accesibilidad-web</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IFERROR(INDEX('03.Muestra'!$B$8:$B$42,SMALL(IF("Página Web"='03.Muestra'!$D$8:$D$42,ROW('03.Muestra'!$B$8:$B$42)-MIN(ROW('03.Muestra'!$D$8:$D$42))+1,""),ROW()-740)),"")</f>
        <v/>
      </c>
      <c r="B751" s="114" t="str" cm="1">
        <f t="array" ref="B751">IFERROR(INDEX('03.Muestra'!$C$8:$C$42,SMALL(IF("Página Web"='03.Muestra'!$D$8:$D$42,ROW('03.Muestra'!$C$8:$C$42)-MIN(ROW('03.Muestra'!$D$8:$D$42))+1,""),ROW()-740)),"")</f>
        <v/>
      </c>
      <c r="C751" s="114" t="str" cm="1">
        <f t="array" ref="C751">IFERROR(INDEX('03.Muestra'!$F$8:$F$42,SMALL(IF("Página Web"='03.Muestra'!$D$8:$D$42,ROW('03.Muestra'!$F$8:$F$42)-MIN(ROW('03.Muestra'!$D$8:$D$42))+1,""),ROW()-740)),"")</f>
        <v/>
      </c>
      <c r="D751" s="130" t="str">
        <f t="shared" ref="D751:D775" si="39">IF(AND(B751&lt;&gt;"",C751&lt;&gt;""),"N/T","")</f>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IFERROR(INDEX('03.Muestra'!$B$8:$B$42,SMALL(IF("Página Web"='03.Muestra'!$D$8:$D$42,ROW('03.Muestra'!$B$8:$B$42)-MIN(ROW('03.Muestra'!$D$8:$D$42))+1,""),ROW()-740)),"")</f>
        <v/>
      </c>
      <c r="B752" s="114" t="str" cm="1">
        <f t="array" ref="B752">IFERROR(INDEX('03.Muestra'!$C$8:$C$42,SMALL(IF("Página Web"='03.Muestra'!$D$8:$D$42,ROW('03.Muestra'!$C$8:$C$42)-MIN(ROW('03.Muestra'!$D$8:$D$42))+1,""),ROW()-740)),"")</f>
        <v/>
      </c>
      <c r="C752" s="114" t="str" cm="1">
        <f t="array" ref="C752">IFERROR(INDEX('03.Muestra'!$F$8:$F$42,SMALL(IF("Página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IFERROR(INDEX('03.Muestra'!$B$8:$B$42,SMALL(IF("Página Web"='03.Muestra'!$D$8:$D$42,ROW('03.Muestra'!$B$8:$B$42)-MIN(ROW('03.Muestra'!$D$8:$D$42))+1,""),ROW()-740)),"")</f>
        <v/>
      </c>
      <c r="B753" s="114" t="str" cm="1">
        <f t="array" ref="B753">IFERROR(INDEX('03.Muestra'!$C$8:$C$42,SMALL(IF("Página Web"='03.Muestra'!$D$8:$D$42,ROW('03.Muestra'!$C$8:$C$42)-MIN(ROW('03.Muestra'!$D$8:$D$42))+1,""),ROW()-740)),"")</f>
        <v/>
      </c>
      <c r="C753" s="114" t="str" cm="1">
        <f t="array" ref="C753">IFERROR(INDEX('03.Muestra'!$F$8:$F$42,SMALL(IF("Página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IFERROR(INDEX('03.Muestra'!$B$8:$B$42,SMALL(IF("Página Web"='03.Muestra'!$D$8:$D$42,ROW('03.Muestra'!$B$8:$B$42)-MIN(ROW('03.Muestra'!$D$8:$D$42))+1,""),ROW()-740)),"")</f>
        <v/>
      </c>
      <c r="B754" s="114" t="str" cm="1">
        <f t="array" ref="B754">IFERROR(INDEX('03.Muestra'!$C$8:$C$42,SMALL(IF("Página Web"='03.Muestra'!$D$8:$D$42,ROW('03.Muestra'!$C$8:$C$42)-MIN(ROW('03.Muestra'!$D$8:$D$42))+1,""),ROW()-740)),"")</f>
        <v/>
      </c>
      <c r="C754" s="114" t="str" cm="1">
        <f t="array" ref="C754">IFERROR(INDEX('03.Muestra'!$F$8:$F$42,SMALL(IF("Página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IFERROR(INDEX('03.Muestra'!$B$8:$B$42,SMALL(IF("Página Web"='03.Muestra'!$D$8:$D$42,ROW('03.Muestra'!$B$8:$B$42)-MIN(ROW('03.Muestra'!$D$8:$D$42))+1,""),ROW()-740)),"")</f>
        <v/>
      </c>
      <c r="B755" s="114" t="str" cm="1">
        <f t="array" ref="B755">IFERROR(INDEX('03.Muestra'!$C$8:$C$42,SMALL(IF("Página Web"='03.Muestra'!$D$8:$D$42,ROW('03.Muestra'!$C$8:$C$42)-MIN(ROW('03.Muestra'!$D$8:$D$42))+1,""),ROW()-740)),"")</f>
        <v/>
      </c>
      <c r="C755" s="114" t="str" cm="1">
        <f t="array" ref="C755">IFERROR(INDEX('03.Muestra'!$F$8:$F$42,SMALL(IF("Página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Servicios e información</v>
      </c>
      <c r="C780" s="114" t="str" cm="1">
        <f t="array" ref="C780">IFERROR(INDEX('03.Muestra'!$F$8:$F$42,SMALL(IF("Página Web"='03.Muestra'!$D$8:$D$42,ROW('03.Muestra'!$F$8:$F$42)-MIN(ROW('03.Muestra'!$D$8:$D$42))+1,""),ROW()-778)),"")</f>
        <v>https://www.comunidad.madrid/servicios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1</v>
      </c>
      <c r="J780" s="120">
        <f ca="1">COUNTIF($D779:INDIRECT("$D" &amp;  SUM(ROW()-1,'03.Muestra'!$D$45)-1),J779)</f>
        <v>9</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Cultura y turismo</v>
      </c>
      <c r="C781" s="114" t="str" cm="1">
        <f t="array" ref="C781">IFERROR(INDEX('03.Muestra'!$F$8:$F$42,SMALL(IF("Página Web"='03.Muestra'!$D$8:$D$42,ROW('03.Muestra'!$F$8:$F$42)-MIN(ROW('03.Muestra'!$D$8:$D$42))+1,""),ROW()-778)),"")</f>
        <v>https://www.comunidad.madrid/cultura</v>
      </c>
      <c r="D781" s="130" t="s">
        <v>28</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Inversión y empresa</v>
      </c>
      <c r="C782" s="114" t="str" cm="1">
        <f t="array" ref="C782">IFERROR(INDEX('03.Muestra'!$F$8:$F$42,SMALL(IF("Página Web"='03.Muestra'!$D$8:$D$42,ROW('03.Muestra'!$F$8:$F$42)-MIN(ROW('03.Muestra'!$D$8:$D$42))+1,""),ROW()-778)),"")</f>
        <v>https://www.comunidad.madrid/inversion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Acción de gobierno</v>
      </c>
      <c r="C783" s="114" t="str" cm="1">
        <f t="array" ref="C783">IFERROR(INDEX('03.Muestra'!$F$8:$F$42,SMALL(IF("Página Web"='03.Muestra'!$D$8:$D$42,ROW('03.Muestra'!$F$8:$F$42)-MIN(ROW('03.Muestra'!$D$8:$D$42))+1,""),ROW()-778)),"")</f>
        <v>https://www.comunidad.madrid/gobierno</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Video</v>
      </c>
      <c r="C784" s="114" t="str" cm="1">
        <f t="array" ref="C784">IFERROR(INDEX('03.Muestra'!$F$8:$F$42,SMALL(IF("Página Web"='03.Muestra'!$D$8:$D$42,ROW('03.Muestra'!$F$8:$F$42)-MIN(ROW('03.Muestra'!$D$8:$D$42))+1,""),ROW()-778)),"")</f>
        <v>https://www.comunidad.madrid/noticias/2023/12/18/diaz-ayuso-reconoce-35-personas-han-realizado-actuaciones-extraordinarias-ayuda-servicio-metro-este-ano-representan-valores-madrid</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Contacto</v>
      </c>
      <c r="C785" s="114" t="str" cm="1">
        <f t="array" ref="C785">IFERROR(INDEX('03.Muestra'!$F$8:$F$42,SMALL(IF("Página Web"='03.Muestra'!$D$8:$D$42,ROW('03.Muestra'!$F$8:$F$42)-MIN(ROW('03.Muestra'!$D$8:$D$42))+1,""),ROW()-778)),"")</f>
        <v>https://www.comunidad.madrid/servicios/atencion-ciudadano</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Aviso Legal</v>
      </c>
      <c r="C786" s="114" t="str" cm="1">
        <f t="array" ref="C786">IFERROR(INDEX('03.Muestra'!$F$8:$F$42,SMALL(IF("Página Web"='03.Muestra'!$D$8:$D$42,ROW('03.Muestra'!$F$8:$F$42)-MIN(ROW('03.Muestra'!$D$8:$D$42))+1,""),ROW()-778)),"")</f>
        <v>https://www.comunidad.madrid/servicios/informacion-atencion-ciudadano/aviso-legal-privacidad</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Mapa web</v>
      </c>
      <c r="C787" s="114" t="str" cm="1">
        <f t="array" ref="C787">IFERROR(INDEX('03.Muestra'!$F$8:$F$42,SMALL(IF("Página Web"='03.Muestra'!$D$8:$D$42,ROW('03.Muestra'!$F$8:$F$42)-MIN(ROW('03.Muestra'!$D$8:$D$42))+1,""),ROW()-778)),"")</f>
        <v>https://www.comunidad.madrid/sitemap</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Accesibilidad</v>
      </c>
      <c r="C788" s="114" t="str" cm="1">
        <f t="array" ref="C788">IFERROR(INDEX('03.Muestra'!$F$8:$F$42,SMALL(IF("Página Web"='03.Muestra'!$D$8:$D$42,ROW('03.Muestra'!$F$8:$F$42)-MIN(ROW('03.Muestra'!$D$8:$D$42))+1,""),ROW()-778)),"")</f>
        <v>https://www.comunidad.madrid/servicios/informacion-atencion-ciudadano/accesibilidad-web</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t="str" cm="1">
        <f t="array" ref="A789">IFERROR(INDEX('03.Muestra'!$B$8:$B$42,SMALL(IF("Página Web"='03.Muestra'!$D$8:$D$42,ROW('03.Muestra'!$B$8:$B$42)-MIN(ROW('03.Muestra'!$D$8:$D$42))+1,""),ROW()-778)),"")</f>
        <v/>
      </c>
      <c r="B789" s="114" t="str" cm="1">
        <f t="array" ref="B789">IFERROR(INDEX('03.Muestra'!$C$8:$C$42,SMALL(IF("Página Web"='03.Muestra'!$D$8:$D$42,ROW('03.Muestra'!$C$8:$C$42)-MIN(ROW('03.Muestra'!$D$8:$D$42))+1,""),ROW()-778)),"")</f>
        <v/>
      </c>
      <c r="C789" s="114" t="str" cm="1">
        <f t="array" ref="C789">IFERROR(INDEX('03.Muestra'!$F$8:$F$42,SMALL(IF("Página Web"='03.Muestra'!$D$8:$D$42,ROW('03.Muestra'!$F$8:$F$42)-MIN(ROW('03.Muestra'!$D$8:$D$42))+1,""),ROW()-778)),"")</f>
        <v/>
      </c>
      <c r="D789" s="130" t="str">
        <f t="shared" ref="D789:D813" si="41">IF(AND(B789&lt;&gt;"",C789&lt;&gt;""),"N/T","")</f>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t="str" cm="1">
        <f t="array" ref="A790">IFERROR(INDEX('03.Muestra'!$B$8:$B$42,SMALL(IF("Página Web"='03.Muestra'!$D$8:$D$42,ROW('03.Muestra'!$B$8:$B$42)-MIN(ROW('03.Muestra'!$D$8:$D$42))+1,""),ROW()-778)),"")</f>
        <v/>
      </c>
      <c r="B790" s="114" t="str" cm="1">
        <f t="array" ref="B790">IFERROR(INDEX('03.Muestra'!$C$8:$C$42,SMALL(IF("Página Web"='03.Muestra'!$D$8:$D$42,ROW('03.Muestra'!$C$8:$C$42)-MIN(ROW('03.Muestra'!$D$8:$D$42))+1,""),ROW()-778)),"")</f>
        <v/>
      </c>
      <c r="C790" s="114" t="str" cm="1">
        <f t="array" ref="C790">IFERROR(INDEX('03.Muestra'!$F$8:$F$42,SMALL(IF("Página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t="str" cm="1">
        <f t="array" ref="A791">IFERROR(INDEX('03.Muestra'!$B$8:$B$42,SMALL(IF("Página Web"='03.Muestra'!$D$8:$D$42,ROW('03.Muestra'!$B$8:$B$42)-MIN(ROW('03.Muestra'!$D$8:$D$42))+1,""),ROW()-778)),"")</f>
        <v/>
      </c>
      <c r="B791" s="114" t="str" cm="1">
        <f t="array" ref="B791">IFERROR(INDEX('03.Muestra'!$C$8:$C$42,SMALL(IF("Página Web"='03.Muestra'!$D$8:$D$42,ROW('03.Muestra'!$C$8:$C$42)-MIN(ROW('03.Muestra'!$D$8:$D$42))+1,""),ROW()-778)),"")</f>
        <v/>
      </c>
      <c r="C791" s="114" t="str" cm="1">
        <f t="array" ref="C791">IFERROR(INDEX('03.Muestra'!$F$8:$F$42,SMALL(IF("Página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t="str" cm="1">
        <f t="array" ref="A792">IFERROR(INDEX('03.Muestra'!$B$8:$B$42,SMALL(IF("Página Web"='03.Muestra'!$D$8:$D$42,ROW('03.Muestra'!$B$8:$B$42)-MIN(ROW('03.Muestra'!$D$8:$D$42))+1,""),ROW()-778)),"")</f>
        <v/>
      </c>
      <c r="B792" s="114" t="str" cm="1">
        <f t="array" ref="B792">IFERROR(INDEX('03.Muestra'!$C$8:$C$42,SMALL(IF("Página Web"='03.Muestra'!$D$8:$D$42,ROW('03.Muestra'!$C$8:$C$42)-MIN(ROW('03.Muestra'!$D$8:$D$42))+1,""),ROW()-778)),"")</f>
        <v/>
      </c>
      <c r="C792" s="114" t="str" cm="1">
        <f t="array" ref="C792">IFERROR(INDEX('03.Muestra'!$F$8:$F$42,SMALL(IF("Página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t="str" cm="1">
        <f t="array" ref="A793">IFERROR(INDEX('03.Muestra'!$B$8:$B$42,SMALL(IF("Página Web"='03.Muestra'!$D$8:$D$42,ROW('03.Muestra'!$B$8:$B$42)-MIN(ROW('03.Muestra'!$D$8:$D$42))+1,""),ROW()-778)),"")</f>
        <v/>
      </c>
      <c r="B793" s="114" t="str" cm="1">
        <f t="array" ref="B793">IFERROR(INDEX('03.Muestra'!$C$8:$C$42,SMALL(IF("Página Web"='03.Muestra'!$D$8:$D$42,ROW('03.Muestra'!$C$8:$C$42)-MIN(ROW('03.Muestra'!$D$8:$D$42))+1,""),ROW()-778)),"")</f>
        <v/>
      </c>
      <c r="C793" s="114" t="str" cm="1">
        <f t="array" ref="C793">IFERROR(INDEX('03.Muestra'!$F$8:$F$42,SMALL(IF("Página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Servicios e información</v>
      </c>
      <c r="C818" s="114" t="str" cm="1">
        <f t="array" ref="C818">IFERROR(INDEX('03.Muestra'!$F$8:$F$42,SMALL(IF("Página Web"='03.Muestra'!$D$8:$D$42,ROW('03.Muestra'!$F$8:$F$42)-MIN(ROW('03.Muestra'!$D$8:$D$42))+1,""),ROW()-816)),"")</f>
        <v>https://www.comunidad.madrid/servicios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Cultura y turismo</v>
      </c>
      <c r="C819" s="114" t="str" cm="1">
        <f t="array" ref="C819">IFERROR(INDEX('03.Muestra'!$F$8:$F$42,SMALL(IF("Página Web"='03.Muestra'!$D$8:$D$42,ROW('03.Muestra'!$F$8:$F$42)-MIN(ROW('03.Muestra'!$D$8:$D$42))+1,""),ROW()-816)),"")</f>
        <v>https://www.comunidad.madrid/cultura</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Inversión y empresa</v>
      </c>
      <c r="C820" s="114" t="str" cm="1">
        <f t="array" ref="C820">IFERROR(INDEX('03.Muestra'!$F$8:$F$42,SMALL(IF("Página Web"='03.Muestra'!$D$8:$D$42,ROW('03.Muestra'!$F$8:$F$42)-MIN(ROW('03.Muestra'!$D$8:$D$42))+1,""),ROW()-816)),"")</f>
        <v>https://www.comunidad.madrid/inversion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Acción de gobierno</v>
      </c>
      <c r="C821" s="114" t="str" cm="1">
        <f t="array" ref="C821">IFERROR(INDEX('03.Muestra'!$F$8:$F$42,SMALL(IF("Página Web"='03.Muestra'!$D$8:$D$42,ROW('03.Muestra'!$F$8:$F$42)-MIN(ROW('03.Muestra'!$D$8:$D$42))+1,""),ROW()-816)),"")</f>
        <v>https://www.comunidad.madrid/gobierno</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Video</v>
      </c>
      <c r="C822" s="114" t="str" cm="1">
        <f t="array" ref="C822">IFERROR(INDEX('03.Muestra'!$F$8:$F$42,SMALL(IF("Página Web"='03.Muestra'!$D$8:$D$42,ROW('03.Muestra'!$F$8:$F$42)-MIN(ROW('03.Muestra'!$D$8:$D$42))+1,""),ROW()-816)),"")</f>
        <v>https://www.comunidad.madrid/noticias/2023/12/18/diaz-ayuso-reconoce-35-personas-han-realizado-actuaciones-extraordinarias-ayuda-servicio-metro-este-ano-representan-valores-madrid</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Contacto</v>
      </c>
      <c r="C823" s="114" t="str" cm="1">
        <f t="array" ref="C823">IFERROR(INDEX('03.Muestra'!$F$8:$F$42,SMALL(IF("Página Web"='03.Muestra'!$D$8:$D$42,ROW('03.Muestra'!$F$8:$F$42)-MIN(ROW('03.Muestra'!$D$8:$D$42))+1,""),ROW()-816)),"")</f>
        <v>https://www.comunidad.madrid/servicios/atencion-ciudadano</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Aviso Legal</v>
      </c>
      <c r="C824" s="114" t="str" cm="1">
        <f t="array" ref="C824">IFERROR(INDEX('03.Muestra'!$F$8:$F$42,SMALL(IF("Página Web"='03.Muestra'!$D$8:$D$42,ROW('03.Muestra'!$F$8:$F$42)-MIN(ROW('03.Muestra'!$D$8:$D$42))+1,""),ROW()-816)),"")</f>
        <v>https://www.comunidad.madrid/servicios/informacion-atencion-ciudadano/aviso-legal-privacidad</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Mapa web</v>
      </c>
      <c r="C825" s="114" t="str" cm="1">
        <f t="array" ref="C825">IFERROR(INDEX('03.Muestra'!$F$8:$F$42,SMALL(IF("Página Web"='03.Muestra'!$D$8:$D$42,ROW('03.Muestra'!$F$8:$F$42)-MIN(ROW('03.Muestra'!$D$8:$D$42))+1,""),ROW()-816)),"")</f>
        <v>https://www.comunidad.madrid/sitemap</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Accesibilidad</v>
      </c>
      <c r="C826" s="114" t="str" cm="1">
        <f t="array" ref="C826">IFERROR(INDEX('03.Muestra'!$F$8:$F$42,SMALL(IF("Página Web"='03.Muestra'!$D$8:$D$42,ROW('03.Muestra'!$F$8:$F$42)-MIN(ROW('03.Muestra'!$D$8:$D$42))+1,""),ROW()-816)),"")</f>
        <v>https://www.comunidad.madrid/servicios/informacion-atencion-ciudadano/accesibilidad-web</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t="str" cm="1">
        <f t="array" ref="A827">IFERROR(INDEX('03.Muestra'!$B$8:$B$42,SMALL(IF("Página Web"='03.Muestra'!$D$8:$D$42,ROW('03.Muestra'!$B$8:$B$42)-MIN(ROW('03.Muestra'!$D$8:$D$42))+1,""),ROW()-816)),"")</f>
        <v/>
      </c>
      <c r="B827" s="114" t="str" cm="1">
        <f t="array" ref="B827">IFERROR(INDEX('03.Muestra'!$C$8:$C$42,SMALL(IF("Página Web"='03.Muestra'!$D$8:$D$42,ROW('03.Muestra'!$C$8:$C$42)-MIN(ROW('03.Muestra'!$D$8:$D$42))+1,""),ROW()-816)),"")</f>
        <v/>
      </c>
      <c r="C827" s="114" t="str" cm="1">
        <f t="array" ref="C827">IFERROR(INDEX('03.Muestra'!$F$8:$F$42,SMALL(IF("Página Web"='03.Muestra'!$D$8:$D$42,ROW('03.Muestra'!$F$8:$F$42)-MIN(ROW('03.Muestra'!$D$8:$D$42))+1,""),ROW()-816)),"")</f>
        <v/>
      </c>
      <c r="D827" s="130" t="str">
        <f t="shared" ref="D827:D851" si="43">IF(AND(B827&lt;&gt;"",C827&lt;&gt;""),"N/T","")</f>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t="str" cm="1">
        <f t="array" ref="A828">IFERROR(INDEX('03.Muestra'!$B$8:$B$42,SMALL(IF("Página Web"='03.Muestra'!$D$8:$D$42,ROW('03.Muestra'!$B$8:$B$42)-MIN(ROW('03.Muestra'!$D$8:$D$42))+1,""),ROW()-816)),"")</f>
        <v/>
      </c>
      <c r="B828" s="114" t="str" cm="1">
        <f t="array" ref="B828">IFERROR(INDEX('03.Muestra'!$C$8:$C$42,SMALL(IF("Página Web"='03.Muestra'!$D$8:$D$42,ROW('03.Muestra'!$C$8:$C$42)-MIN(ROW('03.Muestra'!$D$8:$D$42))+1,""),ROW()-816)),"")</f>
        <v/>
      </c>
      <c r="C828" s="114" t="str" cm="1">
        <f t="array" ref="C828">IFERROR(INDEX('03.Muestra'!$F$8:$F$42,SMALL(IF("Página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t="str" cm="1">
        <f t="array" ref="A829">IFERROR(INDEX('03.Muestra'!$B$8:$B$42,SMALL(IF("Página Web"='03.Muestra'!$D$8:$D$42,ROW('03.Muestra'!$B$8:$B$42)-MIN(ROW('03.Muestra'!$D$8:$D$42))+1,""),ROW()-816)),"")</f>
        <v/>
      </c>
      <c r="B829" s="114" t="str" cm="1">
        <f t="array" ref="B829">IFERROR(INDEX('03.Muestra'!$C$8:$C$42,SMALL(IF("Página Web"='03.Muestra'!$D$8:$D$42,ROW('03.Muestra'!$C$8:$C$42)-MIN(ROW('03.Muestra'!$D$8:$D$42))+1,""),ROW()-816)),"")</f>
        <v/>
      </c>
      <c r="C829" s="114" t="str" cm="1">
        <f t="array" ref="C829">IFERROR(INDEX('03.Muestra'!$F$8:$F$42,SMALL(IF("Página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t="str" cm="1">
        <f t="array" ref="A830">IFERROR(INDEX('03.Muestra'!$B$8:$B$42,SMALL(IF("Página Web"='03.Muestra'!$D$8:$D$42,ROW('03.Muestra'!$B$8:$B$42)-MIN(ROW('03.Muestra'!$D$8:$D$42))+1,""),ROW()-816)),"")</f>
        <v/>
      </c>
      <c r="B830" s="114" t="str" cm="1">
        <f t="array" ref="B830">IFERROR(INDEX('03.Muestra'!$C$8:$C$42,SMALL(IF("Página Web"='03.Muestra'!$D$8:$D$42,ROW('03.Muestra'!$C$8:$C$42)-MIN(ROW('03.Muestra'!$D$8:$D$42))+1,""),ROW()-816)),"")</f>
        <v/>
      </c>
      <c r="C830" s="114" t="str" cm="1">
        <f t="array" ref="C830">IFERROR(INDEX('03.Muestra'!$F$8:$F$42,SMALL(IF("Página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t="str" cm="1">
        <f t="array" ref="A831">IFERROR(INDEX('03.Muestra'!$B$8:$B$42,SMALL(IF("Página Web"='03.Muestra'!$D$8:$D$42,ROW('03.Muestra'!$B$8:$B$42)-MIN(ROW('03.Muestra'!$D$8:$D$42))+1,""),ROW()-816)),"")</f>
        <v/>
      </c>
      <c r="B831" s="114" t="str" cm="1">
        <f t="array" ref="B831">IFERROR(INDEX('03.Muestra'!$C$8:$C$42,SMALL(IF("Página Web"='03.Muestra'!$D$8:$D$42,ROW('03.Muestra'!$C$8:$C$42)-MIN(ROW('03.Muestra'!$D$8:$D$42))+1,""),ROW()-816)),"")</f>
        <v/>
      </c>
      <c r="C831" s="114" t="str" cm="1">
        <f t="array" ref="C831">IFERROR(INDEX('03.Muestra'!$F$8:$F$42,SMALL(IF("Página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Servicios e información</v>
      </c>
      <c r="C856" s="114" t="str" cm="1">
        <f t="array" ref="C856">IFERROR(INDEX('03.Muestra'!$F$8:$F$42,SMALL(IF("Página Web"='03.Muestra'!$D$8:$D$42,ROW('03.Muestra'!$F$8:$F$42)-MIN(ROW('03.Muestra'!$D$8:$D$42))+1,""),ROW()-854)),"")</f>
        <v>https://www.comunidad.madrid/servicios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Cultura y turismo</v>
      </c>
      <c r="C857" s="114" t="str" cm="1">
        <f t="array" ref="C857">IFERROR(INDEX('03.Muestra'!$F$8:$F$42,SMALL(IF("Página Web"='03.Muestra'!$D$8:$D$42,ROW('03.Muestra'!$F$8:$F$42)-MIN(ROW('03.Muestra'!$D$8:$D$42))+1,""),ROW()-854)),"")</f>
        <v>https://www.comunidad.madrid/cultura</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Inversión y empresa</v>
      </c>
      <c r="C858" s="114" t="str" cm="1">
        <f t="array" ref="C858">IFERROR(INDEX('03.Muestra'!$F$8:$F$42,SMALL(IF("Página Web"='03.Muestra'!$D$8:$D$42,ROW('03.Muestra'!$F$8:$F$42)-MIN(ROW('03.Muestra'!$D$8:$D$42))+1,""),ROW()-854)),"")</f>
        <v>https://www.comunidad.madrid/inversion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Acción de gobierno</v>
      </c>
      <c r="C859" s="114" t="str" cm="1">
        <f t="array" ref="C859">IFERROR(INDEX('03.Muestra'!$F$8:$F$42,SMALL(IF("Página Web"='03.Muestra'!$D$8:$D$42,ROW('03.Muestra'!$F$8:$F$42)-MIN(ROW('03.Muestra'!$D$8:$D$42))+1,""),ROW()-854)),"")</f>
        <v>https://www.comunidad.madrid/gobierno</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Video</v>
      </c>
      <c r="C860" s="114" t="str" cm="1">
        <f t="array" ref="C860">IFERROR(INDEX('03.Muestra'!$F$8:$F$42,SMALL(IF("Página Web"='03.Muestra'!$D$8:$D$42,ROW('03.Muestra'!$F$8:$F$42)-MIN(ROW('03.Muestra'!$D$8:$D$42))+1,""),ROW()-854)),"")</f>
        <v>https://www.comunidad.madrid/noticias/2023/12/18/diaz-ayuso-reconoce-35-personas-han-realizado-actuaciones-extraordinarias-ayuda-servicio-metro-este-ano-representan-valores-madrid</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Contacto</v>
      </c>
      <c r="C861" s="114" t="str" cm="1">
        <f t="array" ref="C861">IFERROR(INDEX('03.Muestra'!$F$8:$F$42,SMALL(IF("Página Web"='03.Muestra'!$D$8:$D$42,ROW('03.Muestra'!$F$8:$F$42)-MIN(ROW('03.Muestra'!$D$8:$D$42))+1,""),ROW()-854)),"")</f>
        <v>https://www.comunidad.madrid/servicios/atencion-ciudadano</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Aviso Legal</v>
      </c>
      <c r="C862" s="114" t="str" cm="1">
        <f t="array" ref="C862">IFERROR(INDEX('03.Muestra'!$F$8:$F$42,SMALL(IF("Página Web"='03.Muestra'!$D$8:$D$42,ROW('03.Muestra'!$F$8:$F$42)-MIN(ROW('03.Muestra'!$D$8:$D$42))+1,""),ROW()-854)),"")</f>
        <v>https://www.comunidad.madrid/servicios/informacion-atencion-ciudadano/aviso-legal-privacidad</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Mapa web</v>
      </c>
      <c r="C863" s="114" t="str" cm="1">
        <f t="array" ref="C863">IFERROR(INDEX('03.Muestra'!$F$8:$F$42,SMALL(IF("Página Web"='03.Muestra'!$D$8:$D$42,ROW('03.Muestra'!$F$8:$F$42)-MIN(ROW('03.Muestra'!$D$8:$D$42))+1,""),ROW()-854)),"")</f>
        <v>https://www.comunidad.madrid/sitemap</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Accesibilidad</v>
      </c>
      <c r="C864" s="114" t="str" cm="1">
        <f t="array" ref="C864">IFERROR(INDEX('03.Muestra'!$F$8:$F$42,SMALL(IF("Página Web"='03.Muestra'!$D$8:$D$42,ROW('03.Muestra'!$F$8:$F$42)-MIN(ROW('03.Muestra'!$D$8:$D$42))+1,""),ROW()-854)),"")</f>
        <v>https://www.comunidad.madrid/servicios/informacion-atencion-ciudadano/accesibilidad-web</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t="str" cm="1">
        <f t="array" ref="A865">IFERROR(INDEX('03.Muestra'!$B$8:$B$42,SMALL(IF("Página Web"='03.Muestra'!$D$8:$D$42,ROW('03.Muestra'!$B$8:$B$42)-MIN(ROW('03.Muestra'!$D$8:$D$42))+1,""),ROW()-854)),"")</f>
        <v/>
      </c>
      <c r="B865" s="114" t="str" cm="1">
        <f t="array" ref="B865">IFERROR(INDEX('03.Muestra'!$C$8:$C$42,SMALL(IF("Página Web"='03.Muestra'!$D$8:$D$42,ROW('03.Muestra'!$C$8:$C$42)-MIN(ROW('03.Muestra'!$D$8:$D$42))+1,""),ROW()-854)),"")</f>
        <v/>
      </c>
      <c r="C865" s="114" t="str" cm="1">
        <f t="array" ref="C865">IFERROR(INDEX('03.Muestra'!$F$8:$F$42,SMALL(IF("Página Web"='03.Muestra'!$D$8:$D$42,ROW('03.Muestra'!$F$8:$F$42)-MIN(ROW('03.Muestra'!$D$8:$D$42))+1,""),ROW()-854)),"")</f>
        <v/>
      </c>
      <c r="D865" s="130" t="str">
        <f t="shared" ref="D865:D889" si="45">IF(AND(B865&lt;&gt;"",C865&lt;&gt;""),"N/T","")</f>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t="str" cm="1">
        <f t="array" ref="A866">IFERROR(INDEX('03.Muestra'!$B$8:$B$42,SMALL(IF("Página Web"='03.Muestra'!$D$8:$D$42,ROW('03.Muestra'!$B$8:$B$42)-MIN(ROW('03.Muestra'!$D$8:$D$42))+1,""),ROW()-854)),"")</f>
        <v/>
      </c>
      <c r="B866" s="114" t="str" cm="1">
        <f t="array" ref="B866">IFERROR(INDEX('03.Muestra'!$C$8:$C$42,SMALL(IF("Página Web"='03.Muestra'!$D$8:$D$42,ROW('03.Muestra'!$C$8:$C$42)-MIN(ROW('03.Muestra'!$D$8:$D$42))+1,""),ROW()-854)),"")</f>
        <v/>
      </c>
      <c r="C866" s="114" t="str" cm="1">
        <f t="array" ref="C866">IFERROR(INDEX('03.Muestra'!$F$8:$F$42,SMALL(IF("Página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t="str" cm="1">
        <f t="array" ref="A867">IFERROR(INDEX('03.Muestra'!$B$8:$B$42,SMALL(IF("Página Web"='03.Muestra'!$D$8:$D$42,ROW('03.Muestra'!$B$8:$B$42)-MIN(ROW('03.Muestra'!$D$8:$D$42))+1,""),ROW()-854)),"")</f>
        <v/>
      </c>
      <c r="B867" s="114" t="str" cm="1">
        <f t="array" ref="B867">IFERROR(INDEX('03.Muestra'!$C$8:$C$42,SMALL(IF("Página Web"='03.Muestra'!$D$8:$D$42,ROW('03.Muestra'!$C$8:$C$42)-MIN(ROW('03.Muestra'!$D$8:$D$42))+1,""),ROW()-854)),"")</f>
        <v/>
      </c>
      <c r="C867" s="114" t="str" cm="1">
        <f t="array" ref="C867">IFERROR(INDEX('03.Muestra'!$F$8:$F$42,SMALL(IF("Página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t="str" cm="1">
        <f t="array" ref="A868">IFERROR(INDEX('03.Muestra'!$B$8:$B$42,SMALL(IF("Página Web"='03.Muestra'!$D$8:$D$42,ROW('03.Muestra'!$B$8:$B$42)-MIN(ROW('03.Muestra'!$D$8:$D$42))+1,""),ROW()-854)),"")</f>
        <v/>
      </c>
      <c r="B868" s="114" t="str" cm="1">
        <f t="array" ref="B868">IFERROR(INDEX('03.Muestra'!$C$8:$C$42,SMALL(IF("Página Web"='03.Muestra'!$D$8:$D$42,ROW('03.Muestra'!$C$8:$C$42)-MIN(ROW('03.Muestra'!$D$8:$D$42))+1,""),ROW()-854)),"")</f>
        <v/>
      </c>
      <c r="C868" s="114" t="str" cm="1">
        <f t="array" ref="C868">IFERROR(INDEX('03.Muestra'!$F$8:$F$42,SMALL(IF("Página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t="str" cm="1">
        <f t="array" ref="A869">IFERROR(INDEX('03.Muestra'!$B$8:$B$42,SMALL(IF("Página Web"='03.Muestra'!$D$8:$D$42,ROW('03.Muestra'!$B$8:$B$42)-MIN(ROW('03.Muestra'!$D$8:$D$42))+1,""),ROW()-854)),"")</f>
        <v/>
      </c>
      <c r="B869" s="114" t="str" cm="1">
        <f t="array" ref="B869">IFERROR(INDEX('03.Muestra'!$C$8:$C$42,SMALL(IF("Página Web"='03.Muestra'!$D$8:$D$42,ROW('03.Muestra'!$C$8:$C$42)-MIN(ROW('03.Muestra'!$D$8:$D$42))+1,""),ROW()-854)),"")</f>
        <v/>
      </c>
      <c r="C869" s="114" t="str" cm="1">
        <f t="array" ref="C869">IFERROR(INDEX('03.Muestra'!$F$8:$F$42,SMALL(IF("Página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v>
      </c>
      <c r="D893" s="130" t="s">
        <v>35</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Servicios e información</v>
      </c>
      <c r="C894" s="114" t="str" cm="1">
        <f t="array" ref="C894">IFERROR(INDEX('03.Muestra'!$F$8:$F$42,SMALL(IF("Página Web"='03.Muestra'!$D$8:$D$42,ROW('03.Muestra'!$F$8:$F$42)-MIN(ROW('03.Muestra'!$D$8:$D$42))+1,""),ROW()-892)),"")</f>
        <v>https://www.comunidad.madrid/servicios</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10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Cultura y turismo</v>
      </c>
      <c r="C895" s="114" t="str" cm="1">
        <f t="array" ref="C895">IFERROR(INDEX('03.Muestra'!$F$8:$F$42,SMALL(IF("Página Web"='03.Muestra'!$D$8:$D$42,ROW('03.Muestra'!$F$8:$F$42)-MIN(ROW('03.Muestra'!$D$8:$D$42))+1,""),ROW()-892)),"")</f>
        <v>https://www.comunidad.madrid/cultura</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Inversión y empresa</v>
      </c>
      <c r="C896" s="114" t="str" cm="1">
        <f t="array" ref="C896">IFERROR(INDEX('03.Muestra'!$F$8:$F$42,SMALL(IF("Página Web"='03.Muestra'!$D$8:$D$42,ROW('03.Muestra'!$F$8:$F$42)-MIN(ROW('03.Muestra'!$D$8:$D$42))+1,""),ROW()-892)),"")</f>
        <v>https://www.comunidad.madrid/inversion</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Acción de gobierno</v>
      </c>
      <c r="C897" s="114" t="str" cm="1">
        <f t="array" ref="C897">IFERROR(INDEX('03.Muestra'!$F$8:$F$42,SMALL(IF("Página Web"='03.Muestra'!$D$8:$D$42,ROW('03.Muestra'!$F$8:$F$42)-MIN(ROW('03.Muestra'!$D$8:$D$42))+1,""),ROW()-892)),"")</f>
        <v>https://www.comunidad.madrid/gobierno</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Video</v>
      </c>
      <c r="C898" s="114" t="str" cm="1">
        <f t="array" ref="C898">IFERROR(INDEX('03.Muestra'!$F$8:$F$42,SMALL(IF("Página Web"='03.Muestra'!$D$8:$D$42,ROW('03.Muestra'!$F$8:$F$42)-MIN(ROW('03.Muestra'!$D$8:$D$42))+1,""),ROW()-892)),"")</f>
        <v>https://www.comunidad.madrid/noticias/2023/12/18/diaz-ayuso-reconoce-35-personas-han-realizado-actuaciones-extraordinarias-ayuda-servicio-metro-este-ano-representan-valores-madrid</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Contacto</v>
      </c>
      <c r="C899" s="114" t="str" cm="1">
        <f t="array" ref="C899">IFERROR(INDEX('03.Muestra'!$F$8:$F$42,SMALL(IF("Página Web"='03.Muestra'!$D$8:$D$42,ROW('03.Muestra'!$F$8:$F$42)-MIN(ROW('03.Muestra'!$D$8:$D$42))+1,""),ROW()-892)),"")</f>
        <v>https://www.comunidad.madrid/servicios/atencion-ciudadano</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Aviso Legal</v>
      </c>
      <c r="C900" s="114" t="str" cm="1">
        <f t="array" ref="C900">IFERROR(INDEX('03.Muestra'!$F$8:$F$42,SMALL(IF("Página Web"='03.Muestra'!$D$8:$D$42,ROW('03.Muestra'!$F$8:$F$42)-MIN(ROW('03.Muestra'!$D$8:$D$42))+1,""),ROW()-892)),"")</f>
        <v>https://www.comunidad.madrid/servicios/informacion-atencion-ciudadano/aviso-legal-privacidad</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Mapa web</v>
      </c>
      <c r="C901" s="114" t="str" cm="1">
        <f t="array" ref="C901">IFERROR(INDEX('03.Muestra'!$F$8:$F$42,SMALL(IF("Página Web"='03.Muestra'!$D$8:$D$42,ROW('03.Muestra'!$F$8:$F$42)-MIN(ROW('03.Muestra'!$D$8:$D$42))+1,""),ROW()-892)),"")</f>
        <v>https://www.comunidad.madrid/sitemap</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Accesibilidad</v>
      </c>
      <c r="C902" s="114" t="str" cm="1">
        <f t="array" ref="C902">IFERROR(INDEX('03.Muestra'!$F$8:$F$42,SMALL(IF("Página Web"='03.Muestra'!$D$8:$D$42,ROW('03.Muestra'!$F$8:$F$42)-MIN(ROW('03.Muestra'!$D$8:$D$42))+1,""),ROW()-892)),"")</f>
        <v>https://www.comunidad.madrid/servicios/informacion-atencion-ciudadano/accesibilidad-web</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t="str" cm="1">
        <f t="array" ref="A903">IFERROR(INDEX('03.Muestra'!$B$8:$B$42,SMALL(IF("Página Web"='03.Muestra'!$D$8:$D$42,ROW('03.Muestra'!$B$8:$B$42)-MIN(ROW('03.Muestra'!$D$8:$D$42))+1,""),ROW()-892)),"")</f>
        <v/>
      </c>
      <c r="B903" s="114" t="str" cm="1">
        <f t="array" ref="B903">IFERROR(INDEX('03.Muestra'!$C$8:$C$42,SMALL(IF("Página Web"='03.Muestra'!$D$8:$D$42,ROW('03.Muestra'!$C$8:$C$42)-MIN(ROW('03.Muestra'!$D$8:$D$42))+1,""),ROW()-892)),"")</f>
        <v/>
      </c>
      <c r="C903" s="114" t="str" cm="1">
        <f t="array" ref="C903">IFERROR(INDEX('03.Muestra'!$F$8:$F$42,SMALL(IF("Página Web"='03.Muestra'!$D$8:$D$42,ROW('03.Muestra'!$F$8:$F$42)-MIN(ROW('03.Muestra'!$D$8:$D$42))+1,""),ROW()-892)),"")</f>
        <v/>
      </c>
      <c r="D903" s="130" t="str">
        <f t="shared" ref="D903:D927" si="47">IF(AND(B903&lt;&gt;"",C903&lt;&gt;""),"N/T","")</f>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t="str" cm="1">
        <f t="array" ref="A904">IFERROR(INDEX('03.Muestra'!$B$8:$B$42,SMALL(IF("Página Web"='03.Muestra'!$D$8:$D$42,ROW('03.Muestra'!$B$8:$B$42)-MIN(ROW('03.Muestra'!$D$8:$D$42))+1,""),ROW()-892)),"")</f>
        <v/>
      </c>
      <c r="B904" s="114" t="str" cm="1">
        <f t="array" ref="B904">IFERROR(INDEX('03.Muestra'!$C$8:$C$42,SMALL(IF("Página Web"='03.Muestra'!$D$8:$D$42,ROW('03.Muestra'!$C$8:$C$42)-MIN(ROW('03.Muestra'!$D$8:$D$42))+1,""),ROW()-892)),"")</f>
        <v/>
      </c>
      <c r="C904" s="114" t="str" cm="1">
        <f t="array" ref="C904">IFERROR(INDEX('03.Muestra'!$F$8:$F$42,SMALL(IF("Página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t="str" cm="1">
        <f t="array" ref="A905">IFERROR(INDEX('03.Muestra'!$B$8:$B$42,SMALL(IF("Página Web"='03.Muestra'!$D$8:$D$42,ROW('03.Muestra'!$B$8:$B$42)-MIN(ROW('03.Muestra'!$D$8:$D$42))+1,""),ROW()-892)),"")</f>
        <v/>
      </c>
      <c r="B905" s="114" t="str" cm="1">
        <f t="array" ref="B905">IFERROR(INDEX('03.Muestra'!$C$8:$C$42,SMALL(IF("Página Web"='03.Muestra'!$D$8:$D$42,ROW('03.Muestra'!$C$8:$C$42)-MIN(ROW('03.Muestra'!$D$8:$D$42))+1,""),ROW()-892)),"")</f>
        <v/>
      </c>
      <c r="C905" s="114" t="str" cm="1">
        <f t="array" ref="C905">IFERROR(INDEX('03.Muestra'!$F$8:$F$42,SMALL(IF("Página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t="str" cm="1">
        <f t="array" ref="A906">IFERROR(INDEX('03.Muestra'!$B$8:$B$42,SMALL(IF("Página Web"='03.Muestra'!$D$8:$D$42,ROW('03.Muestra'!$B$8:$B$42)-MIN(ROW('03.Muestra'!$D$8:$D$42))+1,""),ROW()-892)),"")</f>
        <v/>
      </c>
      <c r="B906" s="114" t="str" cm="1">
        <f t="array" ref="B906">IFERROR(INDEX('03.Muestra'!$C$8:$C$42,SMALL(IF("Página Web"='03.Muestra'!$D$8:$D$42,ROW('03.Muestra'!$C$8:$C$42)-MIN(ROW('03.Muestra'!$D$8:$D$42))+1,""),ROW()-892)),"")</f>
        <v/>
      </c>
      <c r="C906" s="114" t="str" cm="1">
        <f t="array" ref="C906">IFERROR(INDEX('03.Muestra'!$F$8:$F$42,SMALL(IF("Página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t="str" cm="1">
        <f t="array" ref="A907">IFERROR(INDEX('03.Muestra'!$B$8:$B$42,SMALL(IF("Página Web"='03.Muestra'!$D$8:$D$42,ROW('03.Muestra'!$B$8:$B$42)-MIN(ROW('03.Muestra'!$D$8:$D$42))+1,""),ROW()-892)),"")</f>
        <v/>
      </c>
      <c r="B907" s="114" t="str" cm="1">
        <f t="array" ref="B907">IFERROR(INDEX('03.Muestra'!$C$8:$C$42,SMALL(IF("Página Web"='03.Muestra'!$D$8:$D$42,ROW('03.Muestra'!$C$8:$C$42)-MIN(ROW('03.Muestra'!$D$8:$D$42))+1,""),ROW()-892)),"")</f>
        <v/>
      </c>
      <c r="C907" s="114" t="str" cm="1">
        <f t="array" ref="C907">IFERROR(INDEX('03.Muestra'!$F$8:$F$42,SMALL(IF("Página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Servicios e información</v>
      </c>
      <c r="C932" s="114" t="str" cm="1">
        <f t="array" ref="C932">IFERROR(INDEX('03.Muestra'!$F$8:$F$42,SMALL(IF("Página Web"='03.Muestra'!$D$8:$D$42,ROW('03.Muestra'!$F$8:$F$42)-MIN(ROW('03.Muestra'!$D$8:$D$42))+1,""),ROW()-930)),"")</f>
        <v>https://www.comunidad.madrid/servicios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Cultura y turismo</v>
      </c>
      <c r="C933" s="114" t="str" cm="1">
        <f t="array" ref="C933">IFERROR(INDEX('03.Muestra'!$F$8:$F$42,SMALL(IF("Página Web"='03.Muestra'!$D$8:$D$42,ROW('03.Muestra'!$F$8:$F$42)-MIN(ROW('03.Muestra'!$D$8:$D$42))+1,""),ROW()-930)),"")</f>
        <v>https://www.comunidad.madrid/cultura</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Inversión y empresa</v>
      </c>
      <c r="C934" s="114" t="str" cm="1">
        <f t="array" ref="C934">IFERROR(INDEX('03.Muestra'!$F$8:$F$42,SMALL(IF("Página Web"='03.Muestra'!$D$8:$D$42,ROW('03.Muestra'!$F$8:$F$42)-MIN(ROW('03.Muestra'!$D$8:$D$42))+1,""),ROW()-930)),"")</f>
        <v>https://www.comunidad.madrid/inversion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Acción de gobierno</v>
      </c>
      <c r="C935" s="114" t="str" cm="1">
        <f t="array" ref="C935">IFERROR(INDEX('03.Muestra'!$F$8:$F$42,SMALL(IF("Página Web"='03.Muestra'!$D$8:$D$42,ROW('03.Muestra'!$F$8:$F$42)-MIN(ROW('03.Muestra'!$D$8:$D$42))+1,""),ROW()-930)),"")</f>
        <v>https://www.comunidad.madrid/gobierno</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Video</v>
      </c>
      <c r="C936" s="114" t="str" cm="1">
        <f t="array" ref="C936">IFERROR(INDEX('03.Muestra'!$F$8:$F$42,SMALL(IF("Página Web"='03.Muestra'!$D$8:$D$42,ROW('03.Muestra'!$F$8:$F$42)-MIN(ROW('03.Muestra'!$D$8:$D$42))+1,""),ROW()-930)),"")</f>
        <v>https://www.comunidad.madrid/noticias/2023/12/18/diaz-ayuso-reconoce-35-personas-han-realizado-actuaciones-extraordinarias-ayuda-servicio-metro-este-ano-representan-valores-madrid</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Contacto</v>
      </c>
      <c r="C937" s="114" t="str" cm="1">
        <f t="array" ref="C937">IFERROR(INDEX('03.Muestra'!$F$8:$F$42,SMALL(IF("Página Web"='03.Muestra'!$D$8:$D$42,ROW('03.Muestra'!$F$8:$F$42)-MIN(ROW('03.Muestra'!$D$8:$D$42))+1,""),ROW()-930)),"")</f>
        <v>https://www.comunidad.madrid/servicios/atencion-ciudadano</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Aviso Legal</v>
      </c>
      <c r="C938" s="114" t="str" cm="1">
        <f t="array" ref="C938">IFERROR(INDEX('03.Muestra'!$F$8:$F$42,SMALL(IF("Página Web"='03.Muestra'!$D$8:$D$42,ROW('03.Muestra'!$F$8:$F$42)-MIN(ROW('03.Muestra'!$D$8:$D$42))+1,""),ROW()-930)),"")</f>
        <v>https://www.comunidad.madrid/servicios/informacion-atencion-ciudadano/aviso-legal-privacidad</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Mapa web</v>
      </c>
      <c r="C939" s="114" t="str" cm="1">
        <f t="array" ref="C939">IFERROR(INDEX('03.Muestra'!$F$8:$F$42,SMALL(IF("Página Web"='03.Muestra'!$D$8:$D$42,ROW('03.Muestra'!$F$8:$F$42)-MIN(ROW('03.Muestra'!$D$8:$D$42))+1,""),ROW()-930)),"")</f>
        <v>https://www.comunidad.madrid/sitemap</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Accesibilidad</v>
      </c>
      <c r="C940" s="114" t="str" cm="1">
        <f t="array" ref="C940">IFERROR(INDEX('03.Muestra'!$F$8:$F$42,SMALL(IF("Página Web"='03.Muestra'!$D$8:$D$42,ROW('03.Muestra'!$F$8:$F$42)-MIN(ROW('03.Muestra'!$D$8:$D$42))+1,""),ROW()-930)),"")</f>
        <v>https://www.comunidad.madrid/servicios/informacion-atencion-ciudadano/accesibilidad-web</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t="str" cm="1">
        <f t="array" ref="A941">IFERROR(INDEX('03.Muestra'!$B$8:$B$42,SMALL(IF("Página Web"='03.Muestra'!$D$8:$D$42,ROW('03.Muestra'!$B$8:$B$42)-MIN(ROW('03.Muestra'!$D$8:$D$42))+1,""),ROW()-930)),"")</f>
        <v/>
      </c>
      <c r="B941" s="114" t="str" cm="1">
        <f t="array" ref="B941">IFERROR(INDEX('03.Muestra'!$C$8:$C$42,SMALL(IF("Página Web"='03.Muestra'!$D$8:$D$42,ROW('03.Muestra'!$C$8:$C$42)-MIN(ROW('03.Muestra'!$D$8:$D$42))+1,""),ROW()-930)),"")</f>
        <v/>
      </c>
      <c r="C941" s="114" t="str" cm="1">
        <f t="array" ref="C941">IFERROR(INDEX('03.Muestra'!$F$8:$F$42,SMALL(IF("Página Web"='03.Muestra'!$D$8:$D$42,ROW('03.Muestra'!$F$8:$F$42)-MIN(ROW('03.Muestra'!$D$8:$D$42))+1,""),ROW()-930)),"")</f>
        <v/>
      </c>
      <c r="D941" s="130" t="str">
        <f t="shared" ref="D941:D965" si="49">IF(AND(B941&lt;&gt;"",C941&lt;&gt;""),"N/T","")</f>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t="str" cm="1">
        <f t="array" ref="A942">IFERROR(INDEX('03.Muestra'!$B$8:$B$42,SMALL(IF("Página Web"='03.Muestra'!$D$8:$D$42,ROW('03.Muestra'!$B$8:$B$42)-MIN(ROW('03.Muestra'!$D$8:$D$42))+1,""),ROW()-930)),"")</f>
        <v/>
      </c>
      <c r="B942" s="114" t="str" cm="1">
        <f t="array" ref="B942">IFERROR(INDEX('03.Muestra'!$C$8:$C$42,SMALL(IF("Página Web"='03.Muestra'!$D$8:$D$42,ROW('03.Muestra'!$C$8:$C$42)-MIN(ROW('03.Muestra'!$D$8:$D$42))+1,""),ROW()-930)),"")</f>
        <v/>
      </c>
      <c r="C942" s="114" t="str" cm="1">
        <f t="array" ref="C942">IFERROR(INDEX('03.Muestra'!$F$8:$F$42,SMALL(IF("Página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t="str" cm="1">
        <f t="array" ref="A943">IFERROR(INDEX('03.Muestra'!$B$8:$B$42,SMALL(IF("Página Web"='03.Muestra'!$D$8:$D$42,ROW('03.Muestra'!$B$8:$B$42)-MIN(ROW('03.Muestra'!$D$8:$D$42))+1,""),ROW()-930)),"")</f>
        <v/>
      </c>
      <c r="B943" s="114" t="str" cm="1">
        <f t="array" ref="B943">IFERROR(INDEX('03.Muestra'!$C$8:$C$42,SMALL(IF("Página Web"='03.Muestra'!$D$8:$D$42,ROW('03.Muestra'!$C$8:$C$42)-MIN(ROW('03.Muestra'!$D$8:$D$42))+1,""),ROW()-930)),"")</f>
        <v/>
      </c>
      <c r="C943" s="114" t="str" cm="1">
        <f t="array" ref="C943">IFERROR(INDEX('03.Muestra'!$F$8:$F$42,SMALL(IF("Página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t="str" cm="1">
        <f t="array" ref="A944">IFERROR(INDEX('03.Muestra'!$B$8:$B$42,SMALL(IF("Página Web"='03.Muestra'!$D$8:$D$42,ROW('03.Muestra'!$B$8:$B$42)-MIN(ROW('03.Muestra'!$D$8:$D$42))+1,""),ROW()-930)),"")</f>
        <v/>
      </c>
      <c r="B944" s="114" t="str" cm="1">
        <f t="array" ref="B944">IFERROR(INDEX('03.Muestra'!$C$8:$C$42,SMALL(IF("Página Web"='03.Muestra'!$D$8:$D$42,ROW('03.Muestra'!$C$8:$C$42)-MIN(ROW('03.Muestra'!$D$8:$D$42))+1,""),ROW()-930)),"")</f>
        <v/>
      </c>
      <c r="C944" s="114" t="str" cm="1">
        <f t="array" ref="C944">IFERROR(INDEX('03.Muestra'!$F$8:$F$42,SMALL(IF("Página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t="str" cm="1">
        <f t="array" ref="A945">IFERROR(INDEX('03.Muestra'!$B$8:$B$42,SMALL(IF("Página Web"='03.Muestra'!$D$8:$D$42,ROW('03.Muestra'!$B$8:$B$42)-MIN(ROW('03.Muestra'!$D$8:$D$42))+1,""),ROW()-930)),"")</f>
        <v/>
      </c>
      <c r="B945" s="114" t="str" cm="1">
        <f t="array" ref="B945">IFERROR(INDEX('03.Muestra'!$C$8:$C$42,SMALL(IF("Página Web"='03.Muestra'!$D$8:$D$42,ROW('03.Muestra'!$C$8:$C$42)-MIN(ROW('03.Muestra'!$D$8:$D$42))+1,""),ROW()-930)),"")</f>
        <v/>
      </c>
      <c r="C945" s="114" t="str" cm="1">
        <f t="array" ref="C945">IFERROR(INDEX('03.Muestra'!$F$8:$F$42,SMALL(IF("Página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v>
      </c>
      <c r="D969" s="130" t="s">
        <v>26</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Servicios e información</v>
      </c>
      <c r="C970" s="114" t="str" cm="1">
        <f t="array" ref="C970">IFERROR(INDEX('03.Muestra'!$F$8:$F$42,SMALL(IF("Página Web"='03.Muestra'!$D$8:$D$42,ROW('03.Muestra'!$F$8:$F$42)-MIN(ROW('03.Muestra'!$D$8:$D$42))+1,""),ROW()-968)),"")</f>
        <v>https://www.comunidad.madrid/servicios</v>
      </c>
      <c r="D970" s="130" t="s">
        <v>26</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10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Cultura y turismo</v>
      </c>
      <c r="C971" s="114" t="str" cm="1">
        <f t="array" ref="C971">IFERROR(INDEX('03.Muestra'!$F$8:$F$42,SMALL(IF("Página Web"='03.Muestra'!$D$8:$D$42,ROW('03.Muestra'!$F$8:$F$42)-MIN(ROW('03.Muestra'!$D$8:$D$42))+1,""),ROW()-968)),"")</f>
        <v>https://www.comunidad.madrid/cultura</v>
      </c>
      <c r="D971" s="130" t="s">
        <v>26</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Inversión y empresa</v>
      </c>
      <c r="C972" s="114" t="str" cm="1">
        <f t="array" ref="C972">IFERROR(INDEX('03.Muestra'!$F$8:$F$42,SMALL(IF("Página Web"='03.Muestra'!$D$8:$D$42,ROW('03.Muestra'!$F$8:$F$42)-MIN(ROW('03.Muestra'!$D$8:$D$42))+1,""),ROW()-968)),"")</f>
        <v>https://www.comunidad.madrid/inversion</v>
      </c>
      <c r="D972" s="130" t="s">
        <v>26</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Acción de gobierno</v>
      </c>
      <c r="C973" s="114" t="str" cm="1">
        <f t="array" ref="C973">IFERROR(INDEX('03.Muestra'!$F$8:$F$42,SMALL(IF("Página Web"='03.Muestra'!$D$8:$D$42,ROW('03.Muestra'!$F$8:$F$42)-MIN(ROW('03.Muestra'!$D$8:$D$42))+1,""),ROW()-968)),"")</f>
        <v>https://www.comunidad.madrid/gobierno</v>
      </c>
      <c r="D973" s="130" t="s">
        <v>26</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Video</v>
      </c>
      <c r="C974" s="114" t="str" cm="1">
        <f t="array" ref="C974">IFERROR(INDEX('03.Muestra'!$F$8:$F$42,SMALL(IF("Página Web"='03.Muestra'!$D$8:$D$42,ROW('03.Muestra'!$F$8:$F$42)-MIN(ROW('03.Muestra'!$D$8:$D$42))+1,""),ROW()-968)),"")</f>
        <v>https://www.comunidad.madrid/noticias/2023/12/18/diaz-ayuso-reconoce-35-personas-han-realizado-actuaciones-extraordinarias-ayuda-servicio-metro-este-ano-representan-valores-madrid</v>
      </c>
      <c r="D974" s="130" t="s">
        <v>26</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Contacto</v>
      </c>
      <c r="C975" s="114" t="str" cm="1">
        <f t="array" ref="C975">IFERROR(INDEX('03.Muestra'!$F$8:$F$42,SMALL(IF("Página Web"='03.Muestra'!$D$8:$D$42,ROW('03.Muestra'!$F$8:$F$42)-MIN(ROW('03.Muestra'!$D$8:$D$42))+1,""),ROW()-968)),"")</f>
        <v>https://www.comunidad.madrid/servicios/atencion-ciudadano</v>
      </c>
      <c r="D975" s="130" t="s">
        <v>26</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Aviso Legal</v>
      </c>
      <c r="C976" s="114" t="str" cm="1">
        <f t="array" ref="C976">IFERROR(INDEX('03.Muestra'!$F$8:$F$42,SMALL(IF("Página Web"='03.Muestra'!$D$8:$D$42,ROW('03.Muestra'!$F$8:$F$42)-MIN(ROW('03.Muestra'!$D$8:$D$42))+1,""),ROW()-968)),"")</f>
        <v>https://www.comunidad.madrid/servicios/informacion-atencion-ciudadano/aviso-legal-privacidad</v>
      </c>
      <c r="D976" s="130" t="s">
        <v>26</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Mapa web</v>
      </c>
      <c r="C977" s="114" t="str" cm="1">
        <f t="array" ref="C977">IFERROR(INDEX('03.Muestra'!$F$8:$F$42,SMALL(IF("Página Web"='03.Muestra'!$D$8:$D$42,ROW('03.Muestra'!$F$8:$F$42)-MIN(ROW('03.Muestra'!$D$8:$D$42))+1,""),ROW()-968)),"")</f>
        <v>https://www.comunidad.madrid/sitemap</v>
      </c>
      <c r="D977" s="130" t="s">
        <v>26</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Accesibilidad</v>
      </c>
      <c r="C978" s="114" t="str" cm="1">
        <f t="array" ref="C978">IFERROR(INDEX('03.Muestra'!$F$8:$F$42,SMALL(IF("Página Web"='03.Muestra'!$D$8:$D$42,ROW('03.Muestra'!$F$8:$F$42)-MIN(ROW('03.Muestra'!$D$8:$D$42))+1,""),ROW()-968)),"")</f>
        <v>https://www.comunidad.madrid/servicios/informacion-atencion-ciudadano/accesibilidad-web</v>
      </c>
      <c r="D978" s="130" t="s">
        <v>26</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t="str" cm="1">
        <f t="array" ref="A979">IFERROR(INDEX('03.Muestra'!$B$8:$B$42,SMALL(IF("Página Web"='03.Muestra'!$D$8:$D$42,ROW('03.Muestra'!$B$8:$B$42)-MIN(ROW('03.Muestra'!$D$8:$D$42))+1,""),ROW()-968)),"")</f>
        <v/>
      </c>
      <c r="B979" s="114" t="str" cm="1">
        <f t="array" ref="B979">IFERROR(INDEX('03.Muestra'!$C$8:$C$42,SMALL(IF("Página Web"='03.Muestra'!$D$8:$D$42,ROW('03.Muestra'!$C$8:$C$42)-MIN(ROW('03.Muestra'!$D$8:$D$42))+1,""),ROW()-968)),"")</f>
        <v/>
      </c>
      <c r="C979" s="114" t="str" cm="1">
        <f t="array" ref="C979">IFERROR(INDEX('03.Muestra'!$F$8:$F$42,SMALL(IF("Página Web"='03.Muestra'!$D$8:$D$42,ROW('03.Muestra'!$F$8:$F$42)-MIN(ROW('03.Muestra'!$D$8:$D$42))+1,""),ROW()-968)),"")</f>
        <v/>
      </c>
      <c r="D979" s="130" t="str">
        <f t="shared" ref="D979:D1003" si="51">IF(AND(B979&lt;&gt;"",C979&lt;&gt;""),"N/T","")</f>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t="str" cm="1">
        <f t="array" ref="A980">IFERROR(INDEX('03.Muestra'!$B$8:$B$42,SMALL(IF("Página Web"='03.Muestra'!$D$8:$D$42,ROW('03.Muestra'!$B$8:$B$42)-MIN(ROW('03.Muestra'!$D$8:$D$42))+1,""),ROW()-968)),"")</f>
        <v/>
      </c>
      <c r="B980" s="114" t="str" cm="1">
        <f t="array" ref="B980">IFERROR(INDEX('03.Muestra'!$C$8:$C$42,SMALL(IF("Página Web"='03.Muestra'!$D$8:$D$42,ROW('03.Muestra'!$C$8:$C$42)-MIN(ROW('03.Muestra'!$D$8:$D$42))+1,""),ROW()-968)),"")</f>
        <v/>
      </c>
      <c r="C980" s="114" t="str" cm="1">
        <f t="array" ref="C980">IFERROR(INDEX('03.Muestra'!$F$8:$F$42,SMALL(IF("Página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t="str" cm="1">
        <f t="array" ref="A981">IFERROR(INDEX('03.Muestra'!$B$8:$B$42,SMALL(IF("Página Web"='03.Muestra'!$D$8:$D$42,ROW('03.Muestra'!$B$8:$B$42)-MIN(ROW('03.Muestra'!$D$8:$D$42))+1,""),ROW()-968)),"")</f>
        <v/>
      </c>
      <c r="B981" s="114" t="str" cm="1">
        <f t="array" ref="B981">IFERROR(INDEX('03.Muestra'!$C$8:$C$42,SMALL(IF("Página Web"='03.Muestra'!$D$8:$D$42,ROW('03.Muestra'!$C$8:$C$42)-MIN(ROW('03.Muestra'!$D$8:$D$42))+1,""),ROW()-968)),"")</f>
        <v/>
      </c>
      <c r="C981" s="114" t="str" cm="1">
        <f t="array" ref="C981">IFERROR(INDEX('03.Muestra'!$F$8:$F$42,SMALL(IF("Página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t="str" cm="1">
        <f t="array" ref="A982">IFERROR(INDEX('03.Muestra'!$B$8:$B$42,SMALL(IF("Página Web"='03.Muestra'!$D$8:$D$42,ROW('03.Muestra'!$B$8:$B$42)-MIN(ROW('03.Muestra'!$D$8:$D$42))+1,""),ROW()-968)),"")</f>
        <v/>
      </c>
      <c r="B982" s="114" t="str" cm="1">
        <f t="array" ref="B982">IFERROR(INDEX('03.Muestra'!$C$8:$C$42,SMALL(IF("Página Web"='03.Muestra'!$D$8:$D$42,ROW('03.Muestra'!$C$8:$C$42)-MIN(ROW('03.Muestra'!$D$8:$D$42))+1,""),ROW()-968)),"")</f>
        <v/>
      </c>
      <c r="C982" s="114" t="str" cm="1">
        <f t="array" ref="C982">IFERROR(INDEX('03.Muestra'!$F$8:$F$42,SMALL(IF("Página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t="str" cm="1">
        <f t="array" ref="A983">IFERROR(INDEX('03.Muestra'!$B$8:$B$42,SMALL(IF("Página Web"='03.Muestra'!$D$8:$D$42,ROW('03.Muestra'!$B$8:$B$42)-MIN(ROW('03.Muestra'!$D$8:$D$42))+1,""),ROW()-968)),"")</f>
        <v/>
      </c>
      <c r="B983" s="114" t="str" cm="1">
        <f t="array" ref="B983">IFERROR(INDEX('03.Muestra'!$C$8:$C$42,SMALL(IF("Página Web"='03.Muestra'!$D$8:$D$42,ROW('03.Muestra'!$C$8:$C$42)-MIN(ROW('03.Muestra'!$D$8:$D$42))+1,""),ROW()-968)),"")</f>
        <v/>
      </c>
      <c r="C983" s="114" t="str" cm="1">
        <f t="array" ref="C983">IFERROR(INDEX('03.Muestra'!$F$8:$F$42,SMALL(IF("Página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Servicios e información</v>
      </c>
      <c r="C1008" s="114" t="str" cm="1">
        <f t="array" ref="C1008">IFERROR(INDEX('03.Muestra'!$F$8:$F$42,SMALL(IF("Página Web"='03.Muestra'!$D$8:$D$42,ROW('03.Muestra'!$F$8:$F$42)-MIN(ROW('03.Muestra'!$D$8:$D$42))+1,""),ROW()-1006)),"")</f>
        <v>https://www.comunidad.madrid/servicios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Cultura y turismo</v>
      </c>
      <c r="C1009" s="114" t="str" cm="1">
        <f t="array" ref="C1009">IFERROR(INDEX('03.Muestra'!$F$8:$F$42,SMALL(IF("Página Web"='03.Muestra'!$D$8:$D$42,ROW('03.Muestra'!$F$8:$F$42)-MIN(ROW('03.Muestra'!$D$8:$D$42))+1,""),ROW()-1006)),"")</f>
        <v>https://www.comunidad.madrid/cultura</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Inversión y empresa</v>
      </c>
      <c r="C1010" s="114" t="str" cm="1">
        <f t="array" ref="C1010">IFERROR(INDEX('03.Muestra'!$F$8:$F$42,SMALL(IF("Página Web"='03.Muestra'!$D$8:$D$42,ROW('03.Muestra'!$F$8:$F$42)-MIN(ROW('03.Muestra'!$D$8:$D$42))+1,""),ROW()-1006)),"")</f>
        <v>https://www.comunidad.madrid/inversion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Acción de gobierno</v>
      </c>
      <c r="C1011" s="114" t="str" cm="1">
        <f t="array" ref="C1011">IFERROR(INDEX('03.Muestra'!$F$8:$F$42,SMALL(IF("Página Web"='03.Muestra'!$D$8:$D$42,ROW('03.Muestra'!$F$8:$F$42)-MIN(ROW('03.Muestra'!$D$8:$D$42))+1,""),ROW()-1006)),"")</f>
        <v>https://www.comunidad.madrid/gobierno</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Video</v>
      </c>
      <c r="C1012" s="114" t="str" cm="1">
        <f t="array" ref="C1012">IFERROR(INDEX('03.Muestra'!$F$8:$F$42,SMALL(IF("Página Web"='03.Muestra'!$D$8:$D$42,ROW('03.Muestra'!$F$8:$F$42)-MIN(ROW('03.Muestra'!$D$8:$D$42))+1,""),ROW()-1006)),"")</f>
        <v>https://www.comunidad.madrid/noticias/2023/12/18/diaz-ayuso-reconoce-35-personas-han-realizado-actuaciones-extraordinarias-ayuda-servicio-metro-este-ano-representan-valores-madrid</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Contacto</v>
      </c>
      <c r="C1013" s="114" t="str" cm="1">
        <f t="array" ref="C1013">IFERROR(INDEX('03.Muestra'!$F$8:$F$42,SMALL(IF("Página Web"='03.Muestra'!$D$8:$D$42,ROW('03.Muestra'!$F$8:$F$42)-MIN(ROW('03.Muestra'!$D$8:$D$42))+1,""),ROW()-1006)),"")</f>
        <v>https://www.comunidad.madrid/servicios/atencion-ciudadano</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Aviso Legal</v>
      </c>
      <c r="C1014" s="114" t="str" cm="1">
        <f t="array" ref="C1014">IFERROR(INDEX('03.Muestra'!$F$8:$F$42,SMALL(IF("Página Web"='03.Muestra'!$D$8:$D$42,ROW('03.Muestra'!$F$8:$F$42)-MIN(ROW('03.Muestra'!$D$8:$D$42))+1,""),ROW()-1006)),"")</f>
        <v>https://www.comunidad.madrid/servicios/informacion-atencion-ciudadano/aviso-legal-privacidad</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Mapa web</v>
      </c>
      <c r="C1015" s="114" t="str" cm="1">
        <f t="array" ref="C1015">IFERROR(INDEX('03.Muestra'!$F$8:$F$42,SMALL(IF("Página Web"='03.Muestra'!$D$8:$D$42,ROW('03.Muestra'!$F$8:$F$42)-MIN(ROW('03.Muestra'!$D$8:$D$42))+1,""),ROW()-1006)),"")</f>
        <v>https://www.comunidad.madrid/sitemap</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Accesibilidad</v>
      </c>
      <c r="C1016" s="114" t="str" cm="1">
        <f t="array" ref="C1016">IFERROR(INDEX('03.Muestra'!$F$8:$F$42,SMALL(IF("Página Web"='03.Muestra'!$D$8:$D$42,ROW('03.Muestra'!$F$8:$F$42)-MIN(ROW('03.Muestra'!$D$8:$D$42))+1,""),ROW()-1006)),"")</f>
        <v>https://www.comunidad.madrid/servicios/informacion-atencion-ciudadano/accesibilidad-web</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t="str" cm="1">
        <f t="array" ref="A1017">IFERROR(INDEX('03.Muestra'!$B$8:$B$42,SMALL(IF("Página Web"='03.Muestra'!$D$8:$D$42,ROW('03.Muestra'!$B$8:$B$42)-MIN(ROW('03.Muestra'!$D$8:$D$42))+1,""),ROW()-1006)),"")</f>
        <v/>
      </c>
      <c r="B1017" s="114" t="str" cm="1">
        <f t="array" ref="B1017">IFERROR(INDEX('03.Muestra'!$C$8:$C$42,SMALL(IF("Página Web"='03.Muestra'!$D$8:$D$42,ROW('03.Muestra'!$C$8:$C$42)-MIN(ROW('03.Muestra'!$D$8:$D$42))+1,""),ROW()-1006)),"")</f>
        <v/>
      </c>
      <c r="C1017" s="114" t="str" cm="1">
        <f t="array" ref="C1017">IFERROR(INDEX('03.Muestra'!$F$8:$F$42,SMALL(IF("Página Web"='03.Muestra'!$D$8:$D$42,ROW('03.Muestra'!$F$8:$F$42)-MIN(ROW('03.Muestra'!$D$8:$D$42))+1,""),ROW()-1006)),"")</f>
        <v/>
      </c>
      <c r="D1017" s="130" t="str">
        <f t="shared" ref="D1017:D1041" si="53">IF(AND(B1017&lt;&gt;"",C1017&lt;&gt;""),"N/T","")</f>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t="str" cm="1">
        <f t="array" ref="A1018">IFERROR(INDEX('03.Muestra'!$B$8:$B$42,SMALL(IF("Página Web"='03.Muestra'!$D$8:$D$42,ROW('03.Muestra'!$B$8:$B$42)-MIN(ROW('03.Muestra'!$D$8:$D$42))+1,""),ROW()-1006)),"")</f>
        <v/>
      </c>
      <c r="B1018" s="114" t="str" cm="1">
        <f t="array" ref="B1018">IFERROR(INDEX('03.Muestra'!$C$8:$C$42,SMALL(IF("Página Web"='03.Muestra'!$D$8:$D$42,ROW('03.Muestra'!$C$8:$C$42)-MIN(ROW('03.Muestra'!$D$8:$D$42))+1,""),ROW()-1006)),"")</f>
        <v/>
      </c>
      <c r="C1018" s="114" t="str" cm="1">
        <f t="array" ref="C1018">IFERROR(INDEX('03.Muestra'!$F$8:$F$42,SMALL(IF("Página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t="str" cm="1">
        <f t="array" ref="A1019">IFERROR(INDEX('03.Muestra'!$B$8:$B$42,SMALL(IF("Página Web"='03.Muestra'!$D$8:$D$42,ROW('03.Muestra'!$B$8:$B$42)-MIN(ROW('03.Muestra'!$D$8:$D$42))+1,""),ROW()-1006)),"")</f>
        <v/>
      </c>
      <c r="B1019" s="114" t="str" cm="1">
        <f t="array" ref="B1019">IFERROR(INDEX('03.Muestra'!$C$8:$C$42,SMALL(IF("Página Web"='03.Muestra'!$D$8:$D$42,ROW('03.Muestra'!$C$8:$C$42)-MIN(ROW('03.Muestra'!$D$8:$D$42))+1,""),ROW()-1006)),"")</f>
        <v/>
      </c>
      <c r="C1019" s="114" t="str" cm="1">
        <f t="array" ref="C1019">IFERROR(INDEX('03.Muestra'!$F$8:$F$42,SMALL(IF("Página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t="str" cm="1">
        <f t="array" ref="A1020">IFERROR(INDEX('03.Muestra'!$B$8:$B$42,SMALL(IF("Página Web"='03.Muestra'!$D$8:$D$42,ROW('03.Muestra'!$B$8:$B$42)-MIN(ROW('03.Muestra'!$D$8:$D$42))+1,""),ROW()-1006)),"")</f>
        <v/>
      </c>
      <c r="B1020" s="114" t="str" cm="1">
        <f t="array" ref="B1020">IFERROR(INDEX('03.Muestra'!$C$8:$C$42,SMALL(IF("Página Web"='03.Muestra'!$D$8:$D$42,ROW('03.Muestra'!$C$8:$C$42)-MIN(ROW('03.Muestra'!$D$8:$D$42))+1,""),ROW()-1006)),"")</f>
        <v/>
      </c>
      <c r="C1020" s="114" t="str" cm="1">
        <f t="array" ref="C1020">IFERROR(INDEX('03.Muestra'!$F$8:$F$42,SMALL(IF("Página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t="str" cm="1">
        <f t="array" ref="A1021">IFERROR(INDEX('03.Muestra'!$B$8:$B$42,SMALL(IF("Página Web"='03.Muestra'!$D$8:$D$42,ROW('03.Muestra'!$B$8:$B$42)-MIN(ROW('03.Muestra'!$D$8:$D$42))+1,""),ROW()-1006)),"")</f>
        <v/>
      </c>
      <c r="B1021" s="114" t="str" cm="1">
        <f t="array" ref="B1021">IFERROR(INDEX('03.Muestra'!$C$8:$C$42,SMALL(IF("Página Web"='03.Muestra'!$D$8:$D$42,ROW('03.Muestra'!$C$8:$C$42)-MIN(ROW('03.Muestra'!$D$8:$D$42))+1,""),ROW()-1006)),"")</f>
        <v/>
      </c>
      <c r="C1021" s="114" t="str" cm="1">
        <f t="array" ref="C1021">IFERROR(INDEX('03.Muestra'!$F$8:$F$42,SMALL(IF("Página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Servicios e información</v>
      </c>
      <c r="C1046" s="114" t="str" cm="1">
        <f t="array" ref="C1046">IFERROR(INDEX('03.Muestra'!$F$8:$F$42,SMALL(IF("Página Web"='03.Muestra'!$D$8:$D$42,ROW('03.Muestra'!$F$8:$F$42)-MIN(ROW('03.Muestra'!$D$8:$D$42))+1,""),ROW()-1044)),"")</f>
        <v>https://www.comunidad.madrid/servicios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v>
      </c>
      <c r="J1046" s="120">
        <f ca="1">COUNTIF($D1045:INDIRECT("$D" &amp;  SUM(ROW()-1,'03.Muestra'!$D$45)-1),J1045)</f>
        <v>9</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Cultura y turismo</v>
      </c>
      <c r="C1047" s="114" t="str" cm="1">
        <f t="array" ref="C1047">IFERROR(INDEX('03.Muestra'!$F$8:$F$42,SMALL(IF("Página Web"='03.Muestra'!$D$8:$D$42,ROW('03.Muestra'!$F$8:$F$42)-MIN(ROW('03.Muestra'!$D$8:$D$42))+1,""),ROW()-1044)),"")</f>
        <v>https://www.comunidad.madrid/cultura</v>
      </c>
      <c r="D1047" s="130" t="s">
        <v>28</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Inversión y empresa</v>
      </c>
      <c r="C1048" s="114" t="str" cm="1">
        <f t="array" ref="C1048">IFERROR(INDEX('03.Muestra'!$F$8:$F$42,SMALL(IF("Página Web"='03.Muestra'!$D$8:$D$42,ROW('03.Muestra'!$F$8:$F$42)-MIN(ROW('03.Muestra'!$D$8:$D$42))+1,""),ROW()-1044)),"")</f>
        <v>https://www.comunidad.madrid/inversion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Acción de gobierno</v>
      </c>
      <c r="C1049" s="114" t="str" cm="1">
        <f t="array" ref="C1049">IFERROR(INDEX('03.Muestra'!$F$8:$F$42,SMALL(IF("Página Web"='03.Muestra'!$D$8:$D$42,ROW('03.Muestra'!$F$8:$F$42)-MIN(ROW('03.Muestra'!$D$8:$D$42))+1,""),ROW()-1044)),"")</f>
        <v>https://www.comunidad.madrid/gobierno</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Video</v>
      </c>
      <c r="C1050" s="114" t="str" cm="1">
        <f t="array" ref="C1050">IFERROR(INDEX('03.Muestra'!$F$8:$F$42,SMALL(IF("Página Web"='03.Muestra'!$D$8:$D$42,ROW('03.Muestra'!$F$8:$F$42)-MIN(ROW('03.Muestra'!$D$8:$D$42))+1,""),ROW()-1044)),"")</f>
        <v>https://www.comunidad.madrid/noticias/2023/12/18/diaz-ayuso-reconoce-35-personas-han-realizado-actuaciones-extraordinarias-ayuda-servicio-metro-este-ano-representan-valores-madrid</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Contacto</v>
      </c>
      <c r="C1051" s="114" t="str" cm="1">
        <f t="array" ref="C1051">IFERROR(INDEX('03.Muestra'!$F$8:$F$42,SMALL(IF("Página Web"='03.Muestra'!$D$8:$D$42,ROW('03.Muestra'!$F$8:$F$42)-MIN(ROW('03.Muestra'!$D$8:$D$42))+1,""),ROW()-1044)),"")</f>
        <v>https://www.comunidad.madrid/servicios/atencion-ciudadano</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Aviso Legal</v>
      </c>
      <c r="C1052" s="114" t="str" cm="1">
        <f t="array" ref="C1052">IFERROR(INDEX('03.Muestra'!$F$8:$F$42,SMALL(IF("Página Web"='03.Muestra'!$D$8:$D$42,ROW('03.Muestra'!$F$8:$F$42)-MIN(ROW('03.Muestra'!$D$8:$D$42))+1,""),ROW()-1044)),"")</f>
        <v>https://www.comunidad.madrid/servicios/informacion-atencion-ciudadano/aviso-legal-privacidad</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Mapa web</v>
      </c>
      <c r="C1053" s="114" t="str" cm="1">
        <f t="array" ref="C1053">IFERROR(INDEX('03.Muestra'!$F$8:$F$42,SMALL(IF("Página Web"='03.Muestra'!$D$8:$D$42,ROW('03.Muestra'!$F$8:$F$42)-MIN(ROW('03.Muestra'!$D$8:$D$42))+1,""),ROW()-1044)),"")</f>
        <v>https://www.comunidad.madrid/sitemap</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Accesibilidad</v>
      </c>
      <c r="C1054" s="114" t="str" cm="1">
        <f t="array" ref="C1054">IFERROR(INDEX('03.Muestra'!$F$8:$F$42,SMALL(IF("Página Web"='03.Muestra'!$D$8:$D$42,ROW('03.Muestra'!$F$8:$F$42)-MIN(ROW('03.Muestra'!$D$8:$D$42))+1,""),ROW()-1044)),"")</f>
        <v>https://www.comunidad.madrid/servicios/informacion-atencion-ciudadano/accesibilidad-web</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t="str" cm="1">
        <f t="array" ref="A1055">IFERROR(INDEX('03.Muestra'!$B$8:$B$42,SMALL(IF("Página Web"='03.Muestra'!$D$8:$D$42,ROW('03.Muestra'!$B$8:$B$42)-MIN(ROW('03.Muestra'!$D$8:$D$42))+1,""),ROW()-1044)),"")</f>
        <v/>
      </c>
      <c r="B1055" s="114" t="str" cm="1">
        <f t="array" ref="B1055">IFERROR(INDEX('03.Muestra'!$C$8:$C$42,SMALL(IF("Página Web"='03.Muestra'!$D$8:$D$42,ROW('03.Muestra'!$C$8:$C$42)-MIN(ROW('03.Muestra'!$D$8:$D$42))+1,""),ROW()-1044)),"")</f>
        <v/>
      </c>
      <c r="C1055" s="114" t="str" cm="1">
        <f t="array" ref="C1055">IFERROR(INDEX('03.Muestra'!$F$8:$F$42,SMALL(IF("Página Web"='03.Muestra'!$D$8:$D$42,ROW('03.Muestra'!$F$8:$F$42)-MIN(ROW('03.Muestra'!$D$8:$D$42))+1,""),ROW()-1044)),"")</f>
        <v/>
      </c>
      <c r="D1055" s="130" t="str">
        <f t="shared" ref="D1055:D1079" si="55">IF(AND(B1055&lt;&gt;"",C1055&lt;&gt;""),"N/T","")</f>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t="str" cm="1">
        <f t="array" ref="A1056">IFERROR(INDEX('03.Muestra'!$B$8:$B$42,SMALL(IF("Página Web"='03.Muestra'!$D$8:$D$42,ROW('03.Muestra'!$B$8:$B$42)-MIN(ROW('03.Muestra'!$D$8:$D$42))+1,""),ROW()-1044)),"")</f>
        <v/>
      </c>
      <c r="B1056" s="114" t="str" cm="1">
        <f t="array" ref="B1056">IFERROR(INDEX('03.Muestra'!$C$8:$C$42,SMALL(IF("Página Web"='03.Muestra'!$D$8:$D$42,ROW('03.Muestra'!$C$8:$C$42)-MIN(ROW('03.Muestra'!$D$8:$D$42))+1,""),ROW()-1044)),"")</f>
        <v/>
      </c>
      <c r="C1056" s="114" t="str" cm="1">
        <f t="array" ref="C1056">IFERROR(INDEX('03.Muestra'!$F$8:$F$42,SMALL(IF("Página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t="str" cm="1">
        <f t="array" ref="A1057">IFERROR(INDEX('03.Muestra'!$B$8:$B$42,SMALL(IF("Página Web"='03.Muestra'!$D$8:$D$42,ROW('03.Muestra'!$B$8:$B$42)-MIN(ROW('03.Muestra'!$D$8:$D$42))+1,""),ROW()-1044)),"")</f>
        <v/>
      </c>
      <c r="B1057" s="114" t="str" cm="1">
        <f t="array" ref="B1057">IFERROR(INDEX('03.Muestra'!$C$8:$C$42,SMALL(IF("Página Web"='03.Muestra'!$D$8:$D$42,ROW('03.Muestra'!$C$8:$C$42)-MIN(ROW('03.Muestra'!$D$8:$D$42))+1,""),ROW()-1044)),"")</f>
        <v/>
      </c>
      <c r="C1057" s="114" t="str" cm="1">
        <f t="array" ref="C1057">IFERROR(INDEX('03.Muestra'!$F$8:$F$42,SMALL(IF("Página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t="str" cm="1">
        <f t="array" ref="A1058">IFERROR(INDEX('03.Muestra'!$B$8:$B$42,SMALL(IF("Página Web"='03.Muestra'!$D$8:$D$42,ROW('03.Muestra'!$B$8:$B$42)-MIN(ROW('03.Muestra'!$D$8:$D$42))+1,""),ROW()-1044)),"")</f>
        <v/>
      </c>
      <c r="B1058" s="114" t="str" cm="1">
        <f t="array" ref="B1058">IFERROR(INDEX('03.Muestra'!$C$8:$C$42,SMALL(IF("Página Web"='03.Muestra'!$D$8:$D$42,ROW('03.Muestra'!$C$8:$C$42)-MIN(ROW('03.Muestra'!$D$8:$D$42))+1,""),ROW()-1044)),"")</f>
        <v/>
      </c>
      <c r="C1058" s="114" t="str" cm="1">
        <f t="array" ref="C1058">IFERROR(INDEX('03.Muestra'!$F$8:$F$42,SMALL(IF("Página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t="str" cm="1">
        <f t="array" ref="A1059">IFERROR(INDEX('03.Muestra'!$B$8:$B$42,SMALL(IF("Página Web"='03.Muestra'!$D$8:$D$42,ROW('03.Muestra'!$B$8:$B$42)-MIN(ROW('03.Muestra'!$D$8:$D$42))+1,""),ROW()-1044)),"")</f>
        <v/>
      </c>
      <c r="B1059" s="114" t="str" cm="1">
        <f t="array" ref="B1059">IFERROR(INDEX('03.Muestra'!$C$8:$C$42,SMALL(IF("Página Web"='03.Muestra'!$D$8:$D$42,ROW('03.Muestra'!$C$8:$C$42)-MIN(ROW('03.Muestra'!$D$8:$D$42))+1,""),ROW()-1044)),"")</f>
        <v/>
      </c>
      <c r="C1059" s="114" t="str" cm="1">
        <f t="array" ref="C1059">IFERROR(INDEX('03.Muestra'!$F$8:$F$42,SMALL(IF("Página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Servicios e información</v>
      </c>
      <c r="C1084" s="114" t="str" cm="1">
        <f t="array" ref="C1084">IFERROR(INDEX('03.Muestra'!$F$8:$F$42,SMALL(IF("Página Web"='03.Muestra'!$D$8:$D$42,ROW('03.Muestra'!$F$8:$F$42)-MIN(ROW('03.Muestra'!$D$8:$D$42))+1,""),ROW()-1082)),"")</f>
        <v>https://www.comunidad.madrid/servicios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8</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Cultura y turismo</v>
      </c>
      <c r="C1085" s="114" t="str" cm="1">
        <f t="array" ref="C1085">IFERROR(INDEX('03.Muestra'!$F$8:$F$42,SMALL(IF("Página Web"='03.Muestra'!$D$8:$D$42,ROW('03.Muestra'!$F$8:$F$42)-MIN(ROW('03.Muestra'!$D$8:$D$42))+1,""),ROW()-1082)),"")</f>
        <v>https://www.comunidad.madrid/cultura</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Inversión y empresa</v>
      </c>
      <c r="C1086" s="114" t="str" cm="1">
        <f t="array" ref="C1086">IFERROR(INDEX('03.Muestra'!$F$8:$F$42,SMALL(IF("Página Web"='03.Muestra'!$D$8:$D$42,ROW('03.Muestra'!$F$8:$F$42)-MIN(ROW('03.Muestra'!$D$8:$D$42))+1,""),ROW()-1082)),"")</f>
        <v>https://www.comunidad.madrid/inversion</v>
      </c>
      <c r="D1086" s="130" t="s">
        <v>28</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Acción de gobierno</v>
      </c>
      <c r="C1087" s="114" t="str" cm="1">
        <f t="array" ref="C1087">IFERROR(INDEX('03.Muestra'!$F$8:$F$42,SMALL(IF("Página Web"='03.Muestra'!$D$8:$D$42,ROW('03.Muestra'!$F$8:$F$42)-MIN(ROW('03.Muestra'!$D$8:$D$42))+1,""),ROW()-1082)),"")</f>
        <v>https://www.comunidad.madrid/gobierno</v>
      </c>
      <c r="D1087" s="246" t="s">
        <v>28</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Video</v>
      </c>
      <c r="C1088" s="114" t="str" cm="1">
        <f t="array" ref="C1088">IFERROR(INDEX('03.Muestra'!$F$8:$F$42,SMALL(IF("Página Web"='03.Muestra'!$D$8:$D$42,ROW('03.Muestra'!$F$8:$F$42)-MIN(ROW('03.Muestra'!$D$8:$D$42))+1,""),ROW()-1082)),"")</f>
        <v>https://www.comunidad.madrid/noticias/2023/12/18/diaz-ayuso-reconoce-35-personas-han-realizado-actuaciones-extraordinarias-ayuda-servicio-metro-este-ano-representan-valores-madrid</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Contacto</v>
      </c>
      <c r="C1089" s="114" t="str" cm="1">
        <f t="array" ref="C1089">IFERROR(INDEX('03.Muestra'!$F$8:$F$42,SMALL(IF("Página Web"='03.Muestra'!$D$8:$D$42,ROW('03.Muestra'!$F$8:$F$42)-MIN(ROW('03.Muestra'!$D$8:$D$42))+1,""),ROW()-1082)),"")</f>
        <v>https://www.comunidad.madrid/servicios/atencion-ciudadano</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Aviso Legal</v>
      </c>
      <c r="C1090" s="114" t="str" cm="1">
        <f t="array" ref="C1090">IFERROR(INDEX('03.Muestra'!$F$8:$F$42,SMALL(IF("Página Web"='03.Muestra'!$D$8:$D$42,ROW('03.Muestra'!$F$8:$F$42)-MIN(ROW('03.Muestra'!$D$8:$D$42))+1,""),ROW()-1082)),"")</f>
        <v>https://www.comunidad.madrid/servicios/informacion-atencion-ciudadano/aviso-legal-privacidad</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Mapa web</v>
      </c>
      <c r="C1091" s="114" t="str" cm="1">
        <f t="array" ref="C1091">IFERROR(INDEX('03.Muestra'!$F$8:$F$42,SMALL(IF("Página Web"='03.Muestra'!$D$8:$D$42,ROW('03.Muestra'!$F$8:$F$42)-MIN(ROW('03.Muestra'!$D$8:$D$42))+1,""),ROW()-1082)),"")</f>
        <v>https://www.comunidad.madrid/sitemap</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Accesibilidad</v>
      </c>
      <c r="C1092" s="114" t="str" cm="1">
        <f t="array" ref="C1092">IFERROR(INDEX('03.Muestra'!$F$8:$F$42,SMALL(IF("Página Web"='03.Muestra'!$D$8:$D$42,ROW('03.Muestra'!$F$8:$F$42)-MIN(ROW('03.Muestra'!$D$8:$D$42))+1,""),ROW()-1082)),"")</f>
        <v>https://www.comunidad.madrid/servicios/informacion-atencion-ciudadano/accesibilidad-web</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t="str" cm="1">
        <f t="array" ref="A1093">IFERROR(INDEX('03.Muestra'!$B$8:$B$42,SMALL(IF("Página Web"='03.Muestra'!$D$8:$D$42,ROW('03.Muestra'!$B$8:$B$42)-MIN(ROW('03.Muestra'!$D$8:$D$42))+1,""),ROW()-1082)),"")</f>
        <v/>
      </c>
      <c r="B1093" s="114" t="str" cm="1">
        <f t="array" ref="B1093">IFERROR(INDEX('03.Muestra'!$C$8:$C$42,SMALL(IF("Página Web"='03.Muestra'!$D$8:$D$42,ROW('03.Muestra'!$C$8:$C$42)-MIN(ROW('03.Muestra'!$D$8:$D$42))+1,""),ROW()-1082)),"")</f>
        <v/>
      </c>
      <c r="C1093" s="114" t="str" cm="1">
        <f t="array" ref="C1093">IFERROR(INDEX('03.Muestra'!$F$8:$F$42,SMALL(IF("Página Web"='03.Muestra'!$D$8:$D$42,ROW('03.Muestra'!$F$8:$F$42)-MIN(ROW('03.Muestra'!$D$8:$D$42))+1,""),ROW()-1082)),"")</f>
        <v/>
      </c>
      <c r="D1093" s="130" t="str">
        <f t="shared" ref="D1093:D1117" si="57">IF(AND(B1093&lt;&gt;"",C1093&lt;&gt;""),"N/T","")</f>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t="str" cm="1">
        <f t="array" ref="A1094">IFERROR(INDEX('03.Muestra'!$B$8:$B$42,SMALL(IF("Página Web"='03.Muestra'!$D$8:$D$42,ROW('03.Muestra'!$B$8:$B$42)-MIN(ROW('03.Muestra'!$D$8:$D$42))+1,""),ROW()-1082)),"")</f>
        <v/>
      </c>
      <c r="B1094" s="114" t="str" cm="1">
        <f t="array" ref="B1094">IFERROR(INDEX('03.Muestra'!$C$8:$C$42,SMALL(IF("Página Web"='03.Muestra'!$D$8:$D$42,ROW('03.Muestra'!$C$8:$C$42)-MIN(ROW('03.Muestra'!$D$8:$D$42))+1,""),ROW()-1082)),"")</f>
        <v/>
      </c>
      <c r="C1094" s="114" t="str" cm="1">
        <f t="array" ref="C1094">IFERROR(INDEX('03.Muestra'!$F$8:$F$42,SMALL(IF("Página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t="str" cm="1">
        <f t="array" ref="A1095">IFERROR(INDEX('03.Muestra'!$B$8:$B$42,SMALL(IF("Página Web"='03.Muestra'!$D$8:$D$42,ROW('03.Muestra'!$B$8:$B$42)-MIN(ROW('03.Muestra'!$D$8:$D$42))+1,""),ROW()-1082)),"")</f>
        <v/>
      </c>
      <c r="B1095" s="114" t="str" cm="1">
        <f t="array" ref="B1095">IFERROR(INDEX('03.Muestra'!$C$8:$C$42,SMALL(IF("Página Web"='03.Muestra'!$D$8:$D$42,ROW('03.Muestra'!$C$8:$C$42)-MIN(ROW('03.Muestra'!$D$8:$D$42))+1,""),ROW()-1082)),"")</f>
        <v/>
      </c>
      <c r="C1095" s="114" t="str" cm="1">
        <f t="array" ref="C1095">IFERROR(INDEX('03.Muestra'!$F$8:$F$42,SMALL(IF("Página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t="str" cm="1">
        <f t="array" ref="A1096">IFERROR(INDEX('03.Muestra'!$B$8:$B$42,SMALL(IF("Página Web"='03.Muestra'!$D$8:$D$42,ROW('03.Muestra'!$B$8:$B$42)-MIN(ROW('03.Muestra'!$D$8:$D$42))+1,""),ROW()-1082)),"")</f>
        <v/>
      </c>
      <c r="B1096" s="114" t="str" cm="1">
        <f t="array" ref="B1096">IFERROR(INDEX('03.Muestra'!$C$8:$C$42,SMALL(IF("Página Web"='03.Muestra'!$D$8:$D$42,ROW('03.Muestra'!$C$8:$C$42)-MIN(ROW('03.Muestra'!$D$8:$D$42))+1,""),ROW()-1082)),"")</f>
        <v/>
      </c>
      <c r="C1096" s="114" t="str" cm="1">
        <f t="array" ref="C1096">IFERROR(INDEX('03.Muestra'!$F$8:$F$42,SMALL(IF("Página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t="str" cm="1">
        <f t="array" ref="A1097">IFERROR(INDEX('03.Muestra'!$B$8:$B$42,SMALL(IF("Página Web"='03.Muestra'!$D$8:$D$42,ROW('03.Muestra'!$B$8:$B$42)-MIN(ROW('03.Muestra'!$D$8:$D$42))+1,""),ROW()-1082)),"")</f>
        <v/>
      </c>
      <c r="B1097" s="114" t="str" cm="1">
        <f t="array" ref="B1097">IFERROR(INDEX('03.Muestra'!$C$8:$C$42,SMALL(IF("Página Web"='03.Muestra'!$D$8:$D$42,ROW('03.Muestra'!$C$8:$C$42)-MIN(ROW('03.Muestra'!$D$8:$D$42))+1,""),ROW()-1082)),"")</f>
        <v/>
      </c>
      <c r="C1097" s="114" t="str" cm="1">
        <f t="array" ref="C1097">IFERROR(INDEX('03.Muestra'!$F$8:$F$42,SMALL(IF("Página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v>
      </c>
      <c r="D1121" s="130" t="s">
        <v>35</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Servicios e información</v>
      </c>
      <c r="C1122" s="114" t="str" cm="1">
        <f t="array" ref="C1122">IFERROR(INDEX('03.Muestra'!$F$8:$F$42,SMALL(IF("Página Web"='03.Muestra'!$D$8:$D$42,ROW('03.Muestra'!$F$8:$F$42)-MIN(ROW('03.Muestra'!$D$8:$D$42))+1,""),ROW()-1120)),"")</f>
        <v>https://www.comunidad.madrid/servicios</v>
      </c>
      <c r="D1122" s="130" t="s">
        <v>35</v>
      </c>
      <c r="E1122" s="107" t="str">
        <f t="shared" si="58"/>
        <v/>
      </c>
      <c r="F1122" s="120">
        <f ca="1">COUNTIF($D1121:INDIRECT("$D" &amp;  SUM(ROW()-1,'03.Muestra'!$D$45)-1),F1121)</f>
        <v>0</v>
      </c>
      <c r="G1122" s="120">
        <f ca="1">COUNTIF($D1121:INDIRECT("$D" &amp;  SUM(ROW()-1,'03.Muestra'!$D$45)-1),G1121)</f>
        <v>0</v>
      </c>
      <c r="H1122" s="120">
        <f ca="1">COUNTIF($D1121:INDIRECT("$D" &amp;  SUM(ROW()-1,'03.Muestra'!$D$45)-1),H1121)</f>
        <v>10</v>
      </c>
      <c r="I1122" s="120">
        <f ca="1">COUNTIF($D1121:INDIRECT("$D" &amp;  SUM(ROW()-1,'03.Muestra'!$D$45)-1),I1121)</f>
        <v>0</v>
      </c>
      <c r="J1122" s="120">
        <f ca="1">COUNTIF($D1121:INDIRECT("$D" &amp;  SUM(ROW()-1,'03.Muestra'!$D$45)-1),J1121)</f>
        <v>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Cultura y turismo</v>
      </c>
      <c r="C1123" s="114" t="str" cm="1">
        <f t="array" ref="C1123">IFERROR(INDEX('03.Muestra'!$F$8:$F$42,SMALL(IF("Página Web"='03.Muestra'!$D$8:$D$42,ROW('03.Muestra'!$F$8:$F$42)-MIN(ROW('03.Muestra'!$D$8:$D$42))+1,""),ROW()-1120)),"")</f>
        <v>https://www.comunidad.madrid/cultura</v>
      </c>
      <c r="D1123" s="130" t="s">
        <v>35</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Inversión y empresa</v>
      </c>
      <c r="C1124" s="114" t="str" cm="1">
        <f t="array" ref="C1124">IFERROR(INDEX('03.Muestra'!$F$8:$F$42,SMALL(IF("Página Web"='03.Muestra'!$D$8:$D$42,ROW('03.Muestra'!$F$8:$F$42)-MIN(ROW('03.Muestra'!$D$8:$D$42))+1,""),ROW()-1120)),"")</f>
        <v>https://www.comunidad.madrid/inversion</v>
      </c>
      <c r="D1124" s="130" t="s">
        <v>35</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Acción de gobierno</v>
      </c>
      <c r="C1125" s="114" t="str" cm="1">
        <f t="array" ref="C1125">IFERROR(INDEX('03.Muestra'!$F$8:$F$42,SMALL(IF("Página Web"='03.Muestra'!$D$8:$D$42,ROW('03.Muestra'!$F$8:$F$42)-MIN(ROW('03.Muestra'!$D$8:$D$42))+1,""),ROW()-1120)),"")</f>
        <v>https://www.comunidad.madrid/gobierno</v>
      </c>
      <c r="D1125" s="130" t="s">
        <v>35</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Video</v>
      </c>
      <c r="C1126" s="114" t="str" cm="1">
        <f t="array" ref="C1126">IFERROR(INDEX('03.Muestra'!$F$8:$F$42,SMALL(IF("Página Web"='03.Muestra'!$D$8:$D$42,ROW('03.Muestra'!$F$8:$F$42)-MIN(ROW('03.Muestra'!$D$8:$D$42))+1,""),ROW()-1120)),"")</f>
        <v>https://www.comunidad.madrid/noticias/2023/12/18/diaz-ayuso-reconoce-35-personas-han-realizado-actuaciones-extraordinarias-ayuda-servicio-metro-este-ano-representan-valores-madrid</v>
      </c>
      <c r="D1126" s="130" t="s">
        <v>35</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Contacto</v>
      </c>
      <c r="C1127" s="114" t="str" cm="1">
        <f t="array" ref="C1127">IFERROR(INDEX('03.Muestra'!$F$8:$F$42,SMALL(IF("Página Web"='03.Muestra'!$D$8:$D$42,ROW('03.Muestra'!$F$8:$F$42)-MIN(ROW('03.Muestra'!$D$8:$D$42))+1,""),ROW()-1120)),"")</f>
        <v>https://www.comunidad.madrid/servicios/atencion-ciudadano</v>
      </c>
      <c r="D1127" s="130" t="s">
        <v>35</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Aviso Legal</v>
      </c>
      <c r="C1128" s="114" t="str" cm="1">
        <f t="array" ref="C1128">IFERROR(INDEX('03.Muestra'!$F$8:$F$42,SMALL(IF("Página Web"='03.Muestra'!$D$8:$D$42,ROW('03.Muestra'!$F$8:$F$42)-MIN(ROW('03.Muestra'!$D$8:$D$42))+1,""),ROW()-1120)),"")</f>
        <v>https://www.comunidad.madrid/servicios/informacion-atencion-ciudadano/aviso-legal-privacidad</v>
      </c>
      <c r="D1128" s="130" t="s">
        <v>35</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Mapa web</v>
      </c>
      <c r="C1129" s="114" t="str" cm="1">
        <f t="array" ref="C1129">IFERROR(INDEX('03.Muestra'!$F$8:$F$42,SMALL(IF("Página Web"='03.Muestra'!$D$8:$D$42,ROW('03.Muestra'!$F$8:$F$42)-MIN(ROW('03.Muestra'!$D$8:$D$42))+1,""),ROW()-1120)),"")</f>
        <v>https://www.comunidad.madrid/sitemap</v>
      </c>
      <c r="D1129" s="130" t="s">
        <v>35</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Accesibilidad</v>
      </c>
      <c r="C1130" s="114" t="str" cm="1">
        <f t="array" ref="C1130">IFERROR(INDEX('03.Muestra'!$F$8:$F$42,SMALL(IF("Página Web"='03.Muestra'!$D$8:$D$42,ROW('03.Muestra'!$F$8:$F$42)-MIN(ROW('03.Muestra'!$D$8:$D$42))+1,""),ROW()-1120)),"")</f>
        <v>https://www.comunidad.madrid/servicios/informacion-atencion-ciudadano/accesibilidad-web</v>
      </c>
      <c r="D1130" s="130" t="s">
        <v>35</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t="str" cm="1">
        <f t="array" ref="A1131">IFERROR(INDEX('03.Muestra'!$B$8:$B$42,SMALL(IF("Página Web"='03.Muestra'!$D$8:$D$42,ROW('03.Muestra'!$B$8:$B$42)-MIN(ROW('03.Muestra'!$D$8:$D$42))+1,""),ROW()-1120)),"")</f>
        <v/>
      </c>
      <c r="B1131" s="114" t="str" cm="1">
        <f t="array" ref="B1131">IFERROR(INDEX('03.Muestra'!$C$8:$C$42,SMALL(IF("Página Web"='03.Muestra'!$D$8:$D$42,ROW('03.Muestra'!$C$8:$C$42)-MIN(ROW('03.Muestra'!$D$8:$D$42))+1,""),ROW()-1120)),"")</f>
        <v/>
      </c>
      <c r="C1131" s="114" t="str" cm="1">
        <f t="array" ref="C1131">IFERROR(INDEX('03.Muestra'!$F$8:$F$42,SMALL(IF("Página Web"='03.Muestra'!$D$8:$D$42,ROW('03.Muestra'!$F$8:$F$42)-MIN(ROW('03.Muestra'!$D$8:$D$42))+1,""),ROW()-1120)),"")</f>
        <v/>
      </c>
      <c r="D1131" s="130" t="str">
        <f t="shared" ref="D1131:D1155" si="59">IF(AND(B1131&lt;&gt;"",C1131&lt;&gt;""),"N/T","")</f>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t="str" cm="1">
        <f t="array" ref="A1132">IFERROR(INDEX('03.Muestra'!$B$8:$B$42,SMALL(IF("Página Web"='03.Muestra'!$D$8:$D$42,ROW('03.Muestra'!$B$8:$B$42)-MIN(ROW('03.Muestra'!$D$8:$D$42))+1,""),ROW()-1120)),"")</f>
        <v/>
      </c>
      <c r="B1132" s="114" t="str" cm="1">
        <f t="array" ref="B1132">IFERROR(INDEX('03.Muestra'!$C$8:$C$42,SMALL(IF("Página Web"='03.Muestra'!$D$8:$D$42,ROW('03.Muestra'!$C$8:$C$42)-MIN(ROW('03.Muestra'!$D$8:$D$42))+1,""),ROW()-1120)),"")</f>
        <v/>
      </c>
      <c r="C1132" s="114" t="str" cm="1">
        <f t="array" ref="C1132">IFERROR(INDEX('03.Muestra'!$F$8:$F$42,SMALL(IF("Página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t="str" cm="1">
        <f t="array" ref="A1133">IFERROR(INDEX('03.Muestra'!$B$8:$B$42,SMALL(IF("Página Web"='03.Muestra'!$D$8:$D$42,ROW('03.Muestra'!$B$8:$B$42)-MIN(ROW('03.Muestra'!$D$8:$D$42))+1,""),ROW()-1120)),"")</f>
        <v/>
      </c>
      <c r="B1133" s="114" t="str" cm="1">
        <f t="array" ref="B1133">IFERROR(INDEX('03.Muestra'!$C$8:$C$42,SMALL(IF("Página Web"='03.Muestra'!$D$8:$D$42,ROW('03.Muestra'!$C$8:$C$42)-MIN(ROW('03.Muestra'!$D$8:$D$42))+1,""),ROW()-1120)),"")</f>
        <v/>
      </c>
      <c r="C1133" s="114" t="str" cm="1">
        <f t="array" ref="C1133">IFERROR(INDEX('03.Muestra'!$F$8:$F$42,SMALL(IF("Página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t="str" cm="1">
        <f t="array" ref="A1134">IFERROR(INDEX('03.Muestra'!$B$8:$B$42,SMALL(IF("Página Web"='03.Muestra'!$D$8:$D$42,ROW('03.Muestra'!$B$8:$B$42)-MIN(ROW('03.Muestra'!$D$8:$D$42))+1,""),ROW()-1120)),"")</f>
        <v/>
      </c>
      <c r="B1134" s="114" t="str" cm="1">
        <f t="array" ref="B1134">IFERROR(INDEX('03.Muestra'!$C$8:$C$42,SMALL(IF("Página Web"='03.Muestra'!$D$8:$D$42,ROW('03.Muestra'!$C$8:$C$42)-MIN(ROW('03.Muestra'!$D$8:$D$42))+1,""),ROW()-1120)),"")</f>
        <v/>
      </c>
      <c r="C1134" s="114" t="str" cm="1">
        <f t="array" ref="C1134">IFERROR(INDEX('03.Muestra'!$F$8:$F$42,SMALL(IF("Página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t="str" cm="1">
        <f t="array" ref="A1135">IFERROR(INDEX('03.Muestra'!$B$8:$B$42,SMALL(IF("Página Web"='03.Muestra'!$D$8:$D$42,ROW('03.Muestra'!$B$8:$B$42)-MIN(ROW('03.Muestra'!$D$8:$D$42))+1,""),ROW()-1120)),"")</f>
        <v/>
      </c>
      <c r="B1135" s="114" t="str" cm="1">
        <f t="array" ref="B1135">IFERROR(INDEX('03.Muestra'!$C$8:$C$42,SMALL(IF("Página Web"='03.Muestra'!$D$8:$D$42,ROW('03.Muestra'!$C$8:$C$42)-MIN(ROW('03.Muestra'!$D$8:$D$42))+1,""),ROW()-1120)),"")</f>
        <v/>
      </c>
      <c r="C1135" s="114" t="str" cm="1">
        <f t="array" ref="C1135">IFERROR(INDEX('03.Muestra'!$F$8:$F$42,SMALL(IF("Página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Servicios e información</v>
      </c>
      <c r="C1160" s="114" t="str" cm="1">
        <f t="array" ref="C1160">IFERROR(INDEX('03.Muestra'!$F$8:$F$42,SMALL(IF("Página Web"='03.Muestra'!$D$8:$D$42,ROW('03.Muestra'!$F$8:$F$42)-MIN(ROW('03.Muestra'!$D$8:$D$42))+1,""),ROW()-1158)),"")</f>
        <v>https://www.comunidad.madrid/servicios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Cultura y turismo</v>
      </c>
      <c r="C1161" s="114" t="str" cm="1">
        <f t="array" ref="C1161">IFERROR(INDEX('03.Muestra'!$F$8:$F$42,SMALL(IF("Página Web"='03.Muestra'!$D$8:$D$42,ROW('03.Muestra'!$F$8:$F$42)-MIN(ROW('03.Muestra'!$D$8:$D$42))+1,""),ROW()-1158)),"")</f>
        <v>https://www.comunidad.madrid/cultura</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Inversión y empresa</v>
      </c>
      <c r="C1162" s="114" t="str" cm="1">
        <f t="array" ref="C1162">IFERROR(INDEX('03.Muestra'!$F$8:$F$42,SMALL(IF("Página Web"='03.Muestra'!$D$8:$D$42,ROW('03.Muestra'!$F$8:$F$42)-MIN(ROW('03.Muestra'!$D$8:$D$42))+1,""),ROW()-1158)),"")</f>
        <v>https://www.comunidad.madrid/inversion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Acción de gobierno</v>
      </c>
      <c r="C1163" s="114" t="str" cm="1">
        <f t="array" ref="C1163">IFERROR(INDEX('03.Muestra'!$F$8:$F$42,SMALL(IF("Página Web"='03.Muestra'!$D$8:$D$42,ROW('03.Muestra'!$F$8:$F$42)-MIN(ROW('03.Muestra'!$D$8:$D$42))+1,""),ROW()-1158)),"")</f>
        <v>https://www.comunidad.madrid/gobierno</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Video</v>
      </c>
      <c r="C1164" s="114" t="str" cm="1">
        <f t="array" ref="C1164">IFERROR(INDEX('03.Muestra'!$F$8:$F$42,SMALL(IF("Página Web"='03.Muestra'!$D$8:$D$42,ROW('03.Muestra'!$F$8:$F$42)-MIN(ROW('03.Muestra'!$D$8:$D$42))+1,""),ROW()-1158)),"")</f>
        <v>https://www.comunidad.madrid/noticias/2023/12/18/diaz-ayuso-reconoce-35-personas-han-realizado-actuaciones-extraordinarias-ayuda-servicio-metro-este-ano-representan-valores-madrid</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Contacto</v>
      </c>
      <c r="C1165" s="114" t="str" cm="1">
        <f t="array" ref="C1165">IFERROR(INDEX('03.Muestra'!$F$8:$F$42,SMALL(IF("Página Web"='03.Muestra'!$D$8:$D$42,ROW('03.Muestra'!$F$8:$F$42)-MIN(ROW('03.Muestra'!$D$8:$D$42))+1,""),ROW()-1158)),"")</f>
        <v>https://www.comunidad.madrid/servicios/atencion-ciudadano</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Aviso Legal</v>
      </c>
      <c r="C1166" s="114" t="str" cm="1">
        <f t="array" ref="C1166">IFERROR(INDEX('03.Muestra'!$F$8:$F$42,SMALL(IF("Página Web"='03.Muestra'!$D$8:$D$42,ROW('03.Muestra'!$F$8:$F$42)-MIN(ROW('03.Muestra'!$D$8:$D$42))+1,""),ROW()-1158)),"")</f>
        <v>https://www.comunidad.madrid/servicios/informacion-atencion-ciudadano/aviso-legal-privacidad</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Mapa web</v>
      </c>
      <c r="C1167" s="114" t="str" cm="1">
        <f t="array" ref="C1167">IFERROR(INDEX('03.Muestra'!$F$8:$F$42,SMALL(IF("Página Web"='03.Muestra'!$D$8:$D$42,ROW('03.Muestra'!$F$8:$F$42)-MIN(ROW('03.Muestra'!$D$8:$D$42))+1,""),ROW()-1158)),"")</f>
        <v>https://www.comunidad.madrid/sitemap</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Accesibilidad</v>
      </c>
      <c r="C1168" s="114" t="str" cm="1">
        <f t="array" ref="C1168">IFERROR(INDEX('03.Muestra'!$F$8:$F$42,SMALL(IF("Página Web"='03.Muestra'!$D$8:$D$42,ROW('03.Muestra'!$F$8:$F$42)-MIN(ROW('03.Muestra'!$D$8:$D$42))+1,""),ROW()-1158)),"")</f>
        <v>https://www.comunidad.madrid/servicios/informacion-atencion-ciudadano/accesibilidad-web</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t="str" cm="1">
        <f t="array" ref="A1169">IFERROR(INDEX('03.Muestra'!$B$8:$B$42,SMALL(IF("Página Web"='03.Muestra'!$D$8:$D$42,ROW('03.Muestra'!$B$8:$B$42)-MIN(ROW('03.Muestra'!$D$8:$D$42))+1,""),ROW()-1158)),"")</f>
        <v/>
      </c>
      <c r="B1169" s="114" t="str" cm="1">
        <f t="array" ref="B1169">IFERROR(INDEX('03.Muestra'!$C$8:$C$42,SMALL(IF("Página Web"='03.Muestra'!$D$8:$D$42,ROW('03.Muestra'!$C$8:$C$42)-MIN(ROW('03.Muestra'!$D$8:$D$42))+1,""),ROW()-1158)),"")</f>
        <v/>
      </c>
      <c r="C1169" s="114" t="str" cm="1">
        <f t="array" ref="C1169">IFERROR(INDEX('03.Muestra'!$F$8:$F$42,SMALL(IF("Página Web"='03.Muestra'!$D$8:$D$42,ROW('03.Muestra'!$F$8:$F$42)-MIN(ROW('03.Muestra'!$D$8:$D$42))+1,""),ROW()-1158)),"")</f>
        <v/>
      </c>
      <c r="D1169" s="130" t="str">
        <f t="shared" ref="D1169:D1193" si="61">IF(AND(B1169&lt;&gt;"",C1169&lt;&gt;""),"N/T","")</f>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t="str" cm="1">
        <f t="array" ref="A1170">IFERROR(INDEX('03.Muestra'!$B$8:$B$42,SMALL(IF("Página Web"='03.Muestra'!$D$8:$D$42,ROW('03.Muestra'!$B$8:$B$42)-MIN(ROW('03.Muestra'!$D$8:$D$42))+1,""),ROW()-1158)),"")</f>
        <v/>
      </c>
      <c r="B1170" s="114" t="str" cm="1">
        <f t="array" ref="B1170">IFERROR(INDEX('03.Muestra'!$C$8:$C$42,SMALL(IF("Página Web"='03.Muestra'!$D$8:$D$42,ROW('03.Muestra'!$C$8:$C$42)-MIN(ROW('03.Muestra'!$D$8:$D$42))+1,""),ROW()-1158)),"")</f>
        <v/>
      </c>
      <c r="C1170" s="114" t="str" cm="1">
        <f t="array" ref="C1170">IFERROR(INDEX('03.Muestra'!$F$8:$F$42,SMALL(IF("Página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t="str" cm="1">
        <f t="array" ref="A1171">IFERROR(INDEX('03.Muestra'!$B$8:$B$42,SMALL(IF("Página Web"='03.Muestra'!$D$8:$D$42,ROW('03.Muestra'!$B$8:$B$42)-MIN(ROW('03.Muestra'!$D$8:$D$42))+1,""),ROW()-1158)),"")</f>
        <v/>
      </c>
      <c r="B1171" s="114" t="str" cm="1">
        <f t="array" ref="B1171">IFERROR(INDEX('03.Muestra'!$C$8:$C$42,SMALL(IF("Página Web"='03.Muestra'!$D$8:$D$42,ROW('03.Muestra'!$C$8:$C$42)-MIN(ROW('03.Muestra'!$D$8:$D$42))+1,""),ROW()-1158)),"")</f>
        <v/>
      </c>
      <c r="C1171" s="114" t="str" cm="1">
        <f t="array" ref="C1171">IFERROR(INDEX('03.Muestra'!$F$8:$F$42,SMALL(IF("Página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t="str" cm="1">
        <f t="array" ref="A1172">IFERROR(INDEX('03.Muestra'!$B$8:$B$42,SMALL(IF("Página Web"='03.Muestra'!$D$8:$D$42,ROW('03.Muestra'!$B$8:$B$42)-MIN(ROW('03.Muestra'!$D$8:$D$42))+1,""),ROW()-1158)),"")</f>
        <v/>
      </c>
      <c r="B1172" s="114" t="str" cm="1">
        <f t="array" ref="B1172">IFERROR(INDEX('03.Muestra'!$C$8:$C$42,SMALL(IF("Página Web"='03.Muestra'!$D$8:$D$42,ROW('03.Muestra'!$C$8:$C$42)-MIN(ROW('03.Muestra'!$D$8:$D$42))+1,""),ROW()-1158)),"")</f>
        <v/>
      </c>
      <c r="C1172" s="114" t="str" cm="1">
        <f t="array" ref="C1172">IFERROR(INDEX('03.Muestra'!$F$8:$F$42,SMALL(IF("Página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t="str" cm="1">
        <f t="array" ref="A1173">IFERROR(INDEX('03.Muestra'!$B$8:$B$42,SMALL(IF("Página Web"='03.Muestra'!$D$8:$D$42,ROW('03.Muestra'!$B$8:$B$42)-MIN(ROW('03.Muestra'!$D$8:$D$42))+1,""),ROW()-1158)),"")</f>
        <v/>
      </c>
      <c r="B1173" s="114" t="str" cm="1">
        <f t="array" ref="B1173">IFERROR(INDEX('03.Muestra'!$C$8:$C$42,SMALL(IF("Página Web"='03.Muestra'!$D$8:$D$42,ROW('03.Muestra'!$C$8:$C$42)-MIN(ROW('03.Muestra'!$D$8:$D$42))+1,""),ROW()-1158)),"")</f>
        <v/>
      </c>
      <c r="C1173" s="114" t="str" cm="1">
        <f t="array" ref="C1173">IFERROR(INDEX('03.Muestra'!$F$8:$F$42,SMALL(IF("Página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Servicios e información</v>
      </c>
      <c r="C1198" s="114" t="str" cm="1">
        <f t="array" ref="C1198">IFERROR(INDEX('03.Muestra'!$F$8:$F$42,SMALL(IF("Página Web"='03.Muestra'!$D$8:$D$42,ROW('03.Muestra'!$F$8:$F$42)-MIN(ROW('03.Muestra'!$D$8:$D$42))+1,""),ROW()-1196)),"")</f>
        <v>https://www.comunidad.madrid/servicios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10</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Cultura y turismo</v>
      </c>
      <c r="C1199" s="114" t="str" cm="1">
        <f t="array" ref="C1199">IFERROR(INDEX('03.Muestra'!$F$8:$F$42,SMALL(IF("Página Web"='03.Muestra'!$D$8:$D$42,ROW('03.Muestra'!$F$8:$F$42)-MIN(ROW('03.Muestra'!$D$8:$D$42))+1,""),ROW()-1196)),"")</f>
        <v>https://www.comunidad.madrid/cultura</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Inversión y empresa</v>
      </c>
      <c r="C1200" s="114" t="str" cm="1">
        <f t="array" ref="C1200">IFERROR(INDEX('03.Muestra'!$F$8:$F$42,SMALL(IF("Página Web"='03.Muestra'!$D$8:$D$42,ROW('03.Muestra'!$F$8:$F$42)-MIN(ROW('03.Muestra'!$D$8:$D$42))+1,""),ROW()-1196)),"")</f>
        <v>https://www.comunidad.madrid/inversion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Acción de gobierno</v>
      </c>
      <c r="C1201" s="114" t="str" cm="1">
        <f t="array" ref="C1201">IFERROR(INDEX('03.Muestra'!$F$8:$F$42,SMALL(IF("Página Web"='03.Muestra'!$D$8:$D$42,ROW('03.Muestra'!$F$8:$F$42)-MIN(ROW('03.Muestra'!$D$8:$D$42))+1,""),ROW()-1196)),"")</f>
        <v>https://www.comunidad.madrid/gobierno</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Video</v>
      </c>
      <c r="C1202" s="114" t="str" cm="1">
        <f t="array" ref="C1202">IFERROR(INDEX('03.Muestra'!$F$8:$F$42,SMALL(IF("Página Web"='03.Muestra'!$D$8:$D$42,ROW('03.Muestra'!$F$8:$F$42)-MIN(ROW('03.Muestra'!$D$8:$D$42))+1,""),ROW()-1196)),"")</f>
        <v>https://www.comunidad.madrid/noticias/2023/12/18/diaz-ayuso-reconoce-35-personas-han-realizado-actuaciones-extraordinarias-ayuda-servicio-metro-este-ano-representan-valores-madrid</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Contacto</v>
      </c>
      <c r="C1203" s="114" t="str" cm="1">
        <f t="array" ref="C1203">IFERROR(INDEX('03.Muestra'!$F$8:$F$42,SMALL(IF("Página Web"='03.Muestra'!$D$8:$D$42,ROW('03.Muestra'!$F$8:$F$42)-MIN(ROW('03.Muestra'!$D$8:$D$42))+1,""),ROW()-1196)),"")</f>
        <v>https://www.comunidad.madrid/servicios/atencion-ciudadano</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Aviso Legal</v>
      </c>
      <c r="C1204" s="114" t="str" cm="1">
        <f t="array" ref="C1204">IFERROR(INDEX('03.Muestra'!$F$8:$F$42,SMALL(IF("Página Web"='03.Muestra'!$D$8:$D$42,ROW('03.Muestra'!$F$8:$F$42)-MIN(ROW('03.Muestra'!$D$8:$D$42))+1,""),ROW()-1196)),"")</f>
        <v>https://www.comunidad.madrid/servicios/informacion-atencion-ciudadano/aviso-legal-privacidad</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Mapa web</v>
      </c>
      <c r="C1205" s="114" t="str" cm="1">
        <f t="array" ref="C1205">IFERROR(INDEX('03.Muestra'!$F$8:$F$42,SMALL(IF("Página Web"='03.Muestra'!$D$8:$D$42,ROW('03.Muestra'!$F$8:$F$42)-MIN(ROW('03.Muestra'!$D$8:$D$42))+1,""),ROW()-1196)),"")</f>
        <v>https://www.comunidad.madrid/sitemap</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Accesibilidad</v>
      </c>
      <c r="C1206" s="114" t="str" cm="1">
        <f t="array" ref="C1206">IFERROR(INDEX('03.Muestra'!$F$8:$F$42,SMALL(IF("Página Web"='03.Muestra'!$D$8:$D$42,ROW('03.Muestra'!$F$8:$F$42)-MIN(ROW('03.Muestra'!$D$8:$D$42))+1,""),ROW()-1196)),"")</f>
        <v>https://www.comunidad.madrid/servicios/informacion-atencion-ciudadano/accesibilidad-web</v>
      </c>
      <c r="D1206" s="130" t="s">
        <v>26</v>
      </c>
      <c r="E1206" s="107" t="str">
        <f t="shared" si="62"/>
        <v/>
      </c>
      <c r="F1206" s="19"/>
      <c r="G1206" s="19"/>
      <c r="H1206" s="19"/>
      <c r="I1206" s="19"/>
      <c r="J1206" s="19"/>
      <c r="K1206" s="233"/>
      <c r="L1206" s="19"/>
    </row>
    <row r="1207" spans="1:12" ht="12" customHeight="1">
      <c r="A1207" s="219" t="str" cm="1">
        <f t="array" ref="A1207">IFERROR(INDEX('03.Muestra'!$B$8:$B$42,SMALL(IF("Página Web"='03.Muestra'!$D$8:$D$42,ROW('03.Muestra'!$B$8:$B$42)-MIN(ROW('03.Muestra'!$D$8:$D$42))+1,""),ROW()-1196)),"")</f>
        <v/>
      </c>
      <c r="B1207" s="114" t="str" cm="1">
        <f t="array" ref="B1207">IFERROR(INDEX('03.Muestra'!$C$8:$C$42,SMALL(IF("Página Web"='03.Muestra'!$D$8:$D$42,ROW('03.Muestra'!$C$8:$C$42)-MIN(ROW('03.Muestra'!$D$8:$D$42))+1,""),ROW()-1196)),"")</f>
        <v/>
      </c>
      <c r="C1207" s="114" t="str" cm="1">
        <f t="array" ref="C1207">IFERROR(INDEX('03.Muestra'!$F$8:$F$42,SMALL(IF("Página Web"='03.Muestra'!$D$8:$D$42,ROW('03.Muestra'!$F$8:$F$42)-MIN(ROW('03.Muestra'!$D$8:$D$42))+1,""),ROW()-1196)),"")</f>
        <v/>
      </c>
      <c r="D1207" s="130" t="str">
        <f t="shared" ref="D1207:D1231" si="63">IF(AND(B1207&lt;&gt;"",C1207&lt;&gt;""),"N/T","")</f>
        <v/>
      </c>
      <c r="E1207" s="107" t="str">
        <f t="shared" si="62"/>
        <v/>
      </c>
      <c r="F1207" s="19"/>
      <c r="G1207" s="19"/>
      <c r="H1207" s="19"/>
      <c r="I1207" s="19"/>
      <c r="J1207" s="19"/>
      <c r="K1207" s="233"/>
      <c r="L1207" s="19"/>
    </row>
    <row r="1208" spans="1:12" ht="12" customHeight="1">
      <c r="A1208" s="219" t="str" cm="1">
        <f t="array" ref="A1208">IFERROR(INDEX('03.Muestra'!$B$8:$B$42,SMALL(IF("Página Web"='03.Muestra'!$D$8:$D$42,ROW('03.Muestra'!$B$8:$B$42)-MIN(ROW('03.Muestra'!$D$8:$D$42))+1,""),ROW()-1196)),"")</f>
        <v/>
      </c>
      <c r="B1208" s="114" t="str" cm="1">
        <f t="array" ref="B1208">IFERROR(INDEX('03.Muestra'!$C$8:$C$42,SMALL(IF("Página Web"='03.Muestra'!$D$8:$D$42,ROW('03.Muestra'!$C$8:$C$42)-MIN(ROW('03.Muestra'!$D$8:$D$42))+1,""),ROW()-1196)),"")</f>
        <v/>
      </c>
      <c r="C1208" s="114" t="str" cm="1">
        <f t="array" ref="C1208">IFERROR(INDEX('03.Muestra'!$F$8:$F$42,SMALL(IF("Página Web"='03.Muestra'!$D$8:$D$42,ROW('03.Muestra'!$F$8:$F$42)-MIN(ROW('03.Muestra'!$D$8:$D$42))+1,""),ROW()-1196)),"")</f>
        <v/>
      </c>
      <c r="D1208" s="130" t="str">
        <f t="shared" si="63"/>
        <v/>
      </c>
      <c r="E1208" s="107" t="str">
        <f t="shared" si="62"/>
        <v/>
      </c>
      <c r="F1208" s="19"/>
      <c r="G1208" s="19"/>
      <c r="H1208" s="19"/>
      <c r="I1208" s="19"/>
      <c r="J1208" s="19"/>
      <c r="K1208" s="233"/>
      <c r="L1208" s="19"/>
    </row>
    <row r="1209" spans="1:12" ht="12" customHeight="1">
      <c r="A1209" s="219" t="str" cm="1">
        <f t="array" ref="A1209">IFERROR(INDEX('03.Muestra'!$B$8:$B$42,SMALL(IF("Página Web"='03.Muestra'!$D$8:$D$42,ROW('03.Muestra'!$B$8:$B$42)-MIN(ROW('03.Muestra'!$D$8:$D$42))+1,""),ROW()-1196)),"")</f>
        <v/>
      </c>
      <c r="B1209" s="114" t="str" cm="1">
        <f t="array" ref="B1209">IFERROR(INDEX('03.Muestra'!$C$8:$C$42,SMALL(IF("Página Web"='03.Muestra'!$D$8:$D$42,ROW('03.Muestra'!$C$8:$C$42)-MIN(ROW('03.Muestra'!$D$8:$D$42))+1,""),ROW()-1196)),"")</f>
        <v/>
      </c>
      <c r="C1209" s="114" t="str" cm="1">
        <f t="array" ref="C1209">IFERROR(INDEX('03.Muestra'!$F$8:$F$42,SMALL(IF("Página Web"='03.Muestra'!$D$8:$D$42,ROW('03.Muestra'!$F$8:$F$42)-MIN(ROW('03.Muestra'!$D$8:$D$42))+1,""),ROW()-1196)),"")</f>
        <v/>
      </c>
      <c r="D1209" s="130" t="str">
        <f t="shared" si="63"/>
        <v/>
      </c>
      <c r="E1209" s="107" t="str">
        <f t="shared" si="62"/>
        <v/>
      </c>
      <c r="F1209" s="19"/>
      <c r="G1209" s="19"/>
      <c r="H1209" s="19"/>
      <c r="I1209" s="19"/>
      <c r="J1209" s="19"/>
      <c r="K1209" s="233"/>
      <c r="L1209" s="19"/>
    </row>
    <row r="1210" spans="1:12" ht="12" customHeight="1">
      <c r="A1210" s="219" t="str" cm="1">
        <f t="array" ref="A1210">IFERROR(INDEX('03.Muestra'!$B$8:$B$42,SMALL(IF("Página Web"='03.Muestra'!$D$8:$D$42,ROW('03.Muestra'!$B$8:$B$42)-MIN(ROW('03.Muestra'!$D$8:$D$42))+1,""),ROW()-1196)),"")</f>
        <v/>
      </c>
      <c r="B1210" s="114" t="str" cm="1">
        <f t="array" ref="B1210">IFERROR(INDEX('03.Muestra'!$C$8:$C$42,SMALL(IF("Página Web"='03.Muestra'!$D$8:$D$42,ROW('03.Muestra'!$C$8:$C$42)-MIN(ROW('03.Muestra'!$D$8:$D$42))+1,""),ROW()-1196)),"")</f>
        <v/>
      </c>
      <c r="C1210" s="114" t="str" cm="1">
        <f t="array" ref="C1210">IFERROR(INDEX('03.Muestra'!$F$8:$F$42,SMALL(IF("Página Web"='03.Muestra'!$D$8:$D$42,ROW('03.Muestra'!$F$8:$F$42)-MIN(ROW('03.Muestra'!$D$8:$D$42))+1,""),ROW()-1196)),"")</f>
        <v/>
      </c>
      <c r="D1210" s="130" t="str">
        <f t="shared" si="63"/>
        <v/>
      </c>
      <c r="E1210" s="107" t="str">
        <f t="shared" si="62"/>
        <v/>
      </c>
      <c r="F1210" s="19"/>
      <c r="G1210" s="19"/>
      <c r="H1210" s="19"/>
      <c r="I1210" s="19"/>
      <c r="J1210" s="19"/>
      <c r="K1210" s="233"/>
      <c r="L1210" s="19"/>
    </row>
    <row r="1211" spans="1:12" ht="12" customHeight="1">
      <c r="A1211" s="219" t="str" cm="1">
        <f t="array" ref="A1211">IFERROR(INDEX('03.Muestra'!$B$8:$B$42,SMALL(IF("Página Web"='03.Muestra'!$D$8:$D$42,ROW('03.Muestra'!$B$8:$B$42)-MIN(ROW('03.Muestra'!$D$8:$D$42))+1,""),ROW()-1196)),"")</f>
        <v/>
      </c>
      <c r="B1211" s="114" t="str" cm="1">
        <f t="array" ref="B1211">IFERROR(INDEX('03.Muestra'!$C$8:$C$42,SMALL(IF("Página Web"='03.Muestra'!$D$8:$D$42,ROW('03.Muestra'!$C$8:$C$42)-MIN(ROW('03.Muestra'!$D$8:$D$42))+1,""),ROW()-1196)),"")</f>
        <v/>
      </c>
      <c r="C1211" s="114" t="str" cm="1">
        <f t="array" ref="C1211">IFERROR(INDEX('03.Muestra'!$F$8:$F$42,SMALL(IF("Página Web"='03.Muestra'!$D$8:$D$42,ROW('03.Muestra'!$F$8:$F$42)-MIN(ROW('03.Muestra'!$D$8:$D$42))+1,""),ROW()-1196)),"")</f>
        <v/>
      </c>
      <c r="D1211" s="130" t="str">
        <f t="shared" si="63"/>
        <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si="63"/>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Servicios e información</v>
      </c>
      <c r="C1236" s="114" t="str" cm="1">
        <f t="array" ref="C1236">IFERROR(INDEX('03.Muestra'!$F$8:$F$42,SMALL(IF("Página Web"='03.Muestra'!$D$8:$D$42,ROW('03.Muestra'!$F$8:$F$42)-MIN(ROW('03.Muestra'!$D$8:$D$42))+1,""),ROW()-1234)),"")</f>
        <v>https://www.comunidad.madrid/servicios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Cultura y turismo</v>
      </c>
      <c r="C1237" s="114" t="str" cm="1">
        <f t="array" ref="C1237">IFERROR(INDEX('03.Muestra'!$F$8:$F$42,SMALL(IF("Página Web"='03.Muestra'!$D$8:$D$42,ROW('03.Muestra'!$F$8:$F$42)-MIN(ROW('03.Muestra'!$D$8:$D$42))+1,""),ROW()-1234)),"")</f>
        <v>https://www.comunidad.madrid/cultura</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Inversión y empresa</v>
      </c>
      <c r="C1238" s="114" t="str" cm="1">
        <f t="array" ref="C1238">IFERROR(INDEX('03.Muestra'!$F$8:$F$42,SMALL(IF("Página Web"='03.Muestra'!$D$8:$D$42,ROW('03.Muestra'!$F$8:$F$42)-MIN(ROW('03.Muestra'!$D$8:$D$42))+1,""),ROW()-1234)),"")</f>
        <v>https://www.comunidad.madrid/inversion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Acción de gobierno</v>
      </c>
      <c r="C1239" s="114" t="str" cm="1">
        <f t="array" ref="C1239">IFERROR(INDEX('03.Muestra'!$F$8:$F$42,SMALL(IF("Página Web"='03.Muestra'!$D$8:$D$42,ROW('03.Muestra'!$F$8:$F$42)-MIN(ROW('03.Muestra'!$D$8:$D$42))+1,""),ROW()-1234)),"")</f>
        <v>https://www.comunidad.madrid/gobierno</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Video</v>
      </c>
      <c r="C1240" s="114" t="str" cm="1">
        <f t="array" ref="C1240">IFERROR(INDEX('03.Muestra'!$F$8:$F$42,SMALL(IF("Página Web"='03.Muestra'!$D$8:$D$42,ROW('03.Muestra'!$F$8:$F$42)-MIN(ROW('03.Muestra'!$D$8:$D$42))+1,""),ROW()-1234)),"")</f>
        <v>https://www.comunidad.madrid/noticias/2023/12/18/diaz-ayuso-reconoce-35-personas-han-realizado-actuaciones-extraordinarias-ayuda-servicio-metro-este-ano-representan-valores-madrid</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Contacto</v>
      </c>
      <c r="C1241" s="114" t="str" cm="1">
        <f t="array" ref="C1241">IFERROR(INDEX('03.Muestra'!$F$8:$F$42,SMALL(IF("Página Web"='03.Muestra'!$D$8:$D$42,ROW('03.Muestra'!$F$8:$F$42)-MIN(ROW('03.Muestra'!$D$8:$D$42))+1,""),ROW()-1234)),"")</f>
        <v>https://www.comunidad.madrid/servicios/atencion-ciudadano</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Aviso Legal</v>
      </c>
      <c r="C1242" s="114" t="str" cm="1">
        <f t="array" ref="C1242">IFERROR(INDEX('03.Muestra'!$F$8:$F$42,SMALL(IF("Página Web"='03.Muestra'!$D$8:$D$42,ROW('03.Muestra'!$F$8:$F$42)-MIN(ROW('03.Muestra'!$D$8:$D$42))+1,""),ROW()-1234)),"")</f>
        <v>https://www.comunidad.madrid/servicios/informacion-atencion-ciudadano/aviso-legal-privacidad</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Mapa web</v>
      </c>
      <c r="C1243" s="114" t="str" cm="1">
        <f t="array" ref="C1243">IFERROR(INDEX('03.Muestra'!$F$8:$F$42,SMALL(IF("Página Web"='03.Muestra'!$D$8:$D$42,ROW('03.Muestra'!$F$8:$F$42)-MIN(ROW('03.Muestra'!$D$8:$D$42))+1,""),ROW()-1234)),"")</f>
        <v>https://www.comunidad.madrid/sitemap</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Accesibilidad</v>
      </c>
      <c r="C1244" s="114" t="str" cm="1">
        <f t="array" ref="C1244">IFERROR(INDEX('03.Muestra'!$F$8:$F$42,SMALL(IF("Página Web"='03.Muestra'!$D$8:$D$42,ROW('03.Muestra'!$F$8:$F$42)-MIN(ROW('03.Muestra'!$D$8:$D$42))+1,""),ROW()-1234)),"")</f>
        <v>https://www.comunidad.madrid/servicios/informacion-atencion-ciudadano/accesibilidad-web</v>
      </c>
      <c r="D1244" s="130" t="s">
        <v>35</v>
      </c>
      <c r="E1244" s="107" t="str">
        <f t="shared" si="64"/>
        <v/>
      </c>
      <c r="F1244" s="19"/>
      <c r="G1244" s="19"/>
      <c r="H1244" s="19"/>
      <c r="I1244" s="19"/>
      <c r="J1244" s="19"/>
      <c r="K1244" s="233"/>
      <c r="L1244" s="19"/>
    </row>
    <row r="1245" spans="1:12" ht="12" customHeight="1">
      <c r="A1245" s="219" t="str" cm="1">
        <f t="array" ref="A1245">IFERROR(INDEX('03.Muestra'!$B$8:$B$42,SMALL(IF("Página Web"='03.Muestra'!$D$8:$D$42,ROW('03.Muestra'!$B$8:$B$42)-MIN(ROW('03.Muestra'!$D$8:$D$42))+1,""),ROW()-1234)),"")</f>
        <v/>
      </c>
      <c r="B1245" s="114" t="str" cm="1">
        <f t="array" ref="B1245">IFERROR(INDEX('03.Muestra'!$C$8:$C$42,SMALL(IF("Página Web"='03.Muestra'!$D$8:$D$42,ROW('03.Muestra'!$C$8:$C$42)-MIN(ROW('03.Muestra'!$D$8:$D$42))+1,""),ROW()-1234)),"")</f>
        <v/>
      </c>
      <c r="C1245" s="114" t="str" cm="1">
        <f t="array" ref="C1245">IFERROR(INDEX('03.Muestra'!$F$8:$F$42,SMALL(IF("Página Web"='03.Muestra'!$D$8:$D$42,ROW('03.Muestra'!$F$8:$F$42)-MIN(ROW('03.Muestra'!$D$8:$D$42))+1,""),ROW()-1234)),"")</f>
        <v/>
      </c>
      <c r="D1245" s="130" t="str">
        <f t="shared" ref="D1245:D1269" si="65">IF(AND(B1245&lt;&gt;"",C1245&lt;&gt;""),"N/T","")</f>
        <v/>
      </c>
      <c r="E1245" s="107" t="str">
        <f t="shared" si="64"/>
        <v/>
      </c>
      <c r="F1245" s="19"/>
      <c r="G1245" s="19"/>
      <c r="H1245" s="19"/>
      <c r="I1245" s="19"/>
      <c r="J1245" s="19"/>
      <c r="K1245" s="233"/>
      <c r="L1245" s="19"/>
    </row>
    <row r="1246" spans="1:12" ht="12" customHeight="1">
      <c r="A1246" s="219" t="str" cm="1">
        <f t="array" ref="A1246">IFERROR(INDEX('03.Muestra'!$B$8:$B$42,SMALL(IF("Página Web"='03.Muestra'!$D$8:$D$42,ROW('03.Muestra'!$B$8:$B$42)-MIN(ROW('03.Muestra'!$D$8:$D$42))+1,""),ROW()-1234)),"")</f>
        <v/>
      </c>
      <c r="B1246" s="114" t="str" cm="1">
        <f t="array" ref="B1246">IFERROR(INDEX('03.Muestra'!$C$8:$C$42,SMALL(IF("Página Web"='03.Muestra'!$D$8:$D$42,ROW('03.Muestra'!$C$8:$C$42)-MIN(ROW('03.Muestra'!$D$8:$D$42))+1,""),ROW()-1234)),"")</f>
        <v/>
      </c>
      <c r="C1246" s="114" t="str" cm="1">
        <f t="array" ref="C1246">IFERROR(INDEX('03.Muestra'!$F$8:$F$42,SMALL(IF("Página Web"='03.Muestra'!$D$8:$D$42,ROW('03.Muestra'!$F$8:$F$42)-MIN(ROW('03.Muestra'!$D$8:$D$42))+1,""),ROW()-1234)),"")</f>
        <v/>
      </c>
      <c r="D1246" s="130" t="str">
        <f t="shared" si="65"/>
        <v/>
      </c>
      <c r="E1246" s="107" t="str">
        <f t="shared" si="64"/>
        <v/>
      </c>
      <c r="F1246" s="19"/>
      <c r="G1246" s="19"/>
      <c r="H1246" s="19"/>
      <c r="I1246" s="19"/>
      <c r="J1246" s="19"/>
      <c r="K1246" s="233"/>
      <c r="L1246" s="19"/>
    </row>
    <row r="1247" spans="1:12" ht="12" customHeight="1">
      <c r="A1247" s="219" t="str" cm="1">
        <f t="array" ref="A1247">IFERROR(INDEX('03.Muestra'!$B$8:$B$42,SMALL(IF("Página Web"='03.Muestra'!$D$8:$D$42,ROW('03.Muestra'!$B$8:$B$42)-MIN(ROW('03.Muestra'!$D$8:$D$42))+1,""),ROW()-1234)),"")</f>
        <v/>
      </c>
      <c r="B1247" s="114" t="str" cm="1">
        <f t="array" ref="B1247">IFERROR(INDEX('03.Muestra'!$C$8:$C$42,SMALL(IF("Página Web"='03.Muestra'!$D$8:$D$42,ROW('03.Muestra'!$C$8:$C$42)-MIN(ROW('03.Muestra'!$D$8:$D$42))+1,""),ROW()-1234)),"")</f>
        <v/>
      </c>
      <c r="C1247" s="114" t="str" cm="1">
        <f t="array" ref="C1247">IFERROR(INDEX('03.Muestra'!$F$8:$F$42,SMALL(IF("Página Web"='03.Muestra'!$D$8:$D$42,ROW('03.Muestra'!$F$8:$F$42)-MIN(ROW('03.Muestra'!$D$8:$D$42))+1,""),ROW()-1234)),"")</f>
        <v/>
      </c>
      <c r="D1247" s="130" t="str">
        <f t="shared" si="65"/>
        <v/>
      </c>
      <c r="E1247" s="107" t="str">
        <f t="shared" si="64"/>
        <v/>
      </c>
      <c r="F1247" s="19"/>
      <c r="G1247" s="19"/>
      <c r="H1247" s="19"/>
      <c r="I1247" s="19"/>
      <c r="J1247" s="19"/>
      <c r="K1247" s="233"/>
      <c r="L1247" s="19"/>
    </row>
    <row r="1248" spans="1:12" ht="12" customHeight="1">
      <c r="A1248" s="219" t="str" cm="1">
        <f t="array" ref="A1248">IFERROR(INDEX('03.Muestra'!$B$8:$B$42,SMALL(IF("Página Web"='03.Muestra'!$D$8:$D$42,ROW('03.Muestra'!$B$8:$B$42)-MIN(ROW('03.Muestra'!$D$8:$D$42))+1,""),ROW()-1234)),"")</f>
        <v/>
      </c>
      <c r="B1248" s="114" t="str" cm="1">
        <f t="array" ref="B1248">IFERROR(INDEX('03.Muestra'!$C$8:$C$42,SMALL(IF("Página Web"='03.Muestra'!$D$8:$D$42,ROW('03.Muestra'!$C$8:$C$42)-MIN(ROW('03.Muestra'!$D$8:$D$42))+1,""),ROW()-1234)),"")</f>
        <v/>
      </c>
      <c r="C1248" s="114" t="str" cm="1">
        <f t="array" ref="C1248">IFERROR(INDEX('03.Muestra'!$F$8:$F$42,SMALL(IF("Página Web"='03.Muestra'!$D$8:$D$42,ROW('03.Muestra'!$F$8:$F$42)-MIN(ROW('03.Muestra'!$D$8:$D$42))+1,""),ROW()-1234)),"")</f>
        <v/>
      </c>
      <c r="D1248" s="130" t="str">
        <f t="shared" si="65"/>
        <v/>
      </c>
      <c r="E1248" s="107" t="str">
        <f t="shared" si="64"/>
        <v/>
      </c>
      <c r="F1248" s="19"/>
      <c r="G1248" s="19"/>
      <c r="H1248" s="19"/>
      <c r="I1248" s="19"/>
      <c r="J1248" s="19"/>
      <c r="K1248" s="233"/>
      <c r="L1248" s="19"/>
    </row>
    <row r="1249" spans="1:12" ht="12" customHeight="1">
      <c r="A1249" s="219" t="str" cm="1">
        <f t="array" ref="A1249">IFERROR(INDEX('03.Muestra'!$B$8:$B$42,SMALL(IF("Página Web"='03.Muestra'!$D$8:$D$42,ROW('03.Muestra'!$B$8:$B$42)-MIN(ROW('03.Muestra'!$D$8:$D$42))+1,""),ROW()-1234)),"")</f>
        <v/>
      </c>
      <c r="B1249" s="114" t="str" cm="1">
        <f t="array" ref="B1249">IFERROR(INDEX('03.Muestra'!$C$8:$C$42,SMALL(IF("Página Web"='03.Muestra'!$D$8:$D$42,ROW('03.Muestra'!$C$8:$C$42)-MIN(ROW('03.Muestra'!$D$8:$D$42))+1,""),ROW()-1234)),"")</f>
        <v/>
      </c>
      <c r="C1249" s="114" t="str" cm="1">
        <f t="array" ref="C1249">IFERROR(INDEX('03.Muestra'!$F$8:$F$42,SMALL(IF("Página Web"='03.Muestra'!$D$8:$D$42,ROW('03.Muestra'!$F$8:$F$42)-MIN(ROW('03.Muestra'!$D$8:$D$42))+1,""),ROW()-1234)),"")</f>
        <v/>
      </c>
      <c r="D1249" s="130" t="str">
        <f t="shared" si="65"/>
        <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si="65"/>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Servicios e información</v>
      </c>
      <c r="C1274" s="114" t="str" cm="1">
        <f t="array" ref="C1274">IFERROR(INDEX('03.Muestra'!$F$8:$F$42,SMALL(IF("Página Web"='03.Muestra'!$D$8:$D$42,ROW('03.Muestra'!$F$8:$F$42)-MIN(ROW('03.Muestra'!$D$8:$D$42))+1,""),ROW()-1272)),"")</f>
        <v>https://www.comunidad.madrid/servicios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10</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Cultura y turismo</v>
      </c>
      <c r="C1275" s="114" t="str" cm="1">
        <f t="array" ref="C1275">IFERROR(INDEX('03.Muestra'!$F$8:$F$42,SMALL(IF("Página Web"='03.Muestra'!$D$8:$D$42,ROW('03.Muestra'!$F$8:$F$42)-MIN(ROW('03.Muestra'!$D$8:$D$42))+1,""),ROW()-1272)),"")</f>
        <v>https://www.comunidad.madrid/cultura</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Inversión y empresa</v>
      </c>
      <c r="C1276" s="114" t="str" cm="1">
        <f t="array" ref="C1276">IFERROR(INDEX('03.Muestra'!$F$8:$F$42,SMALL(IF("Página Web"='03.Muestra'!$D$8:$D$42,ROW('03.Muestra'!$F$8:$F$42)-MIN(ROW('03.Muestra'!$D$8:$D$42))+1,""),ROW()-1272)),"")</f>
        <v>https://www.comunidad.madrid/inversion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Acción de gobierno</v>
      </c>
      <c r="C1277" s="114" t="str" cm="1">
        <f t="array" ref="C1277">IFERROR(INDEX('03.Muestra'!$F$8:$F$42,SMALL(IF("Página Web"='03.Muestra'!$D$8:$D$42,ROW('03.Muestra'!$F$8:$F$42)-MIN(ROW('03.Muestra'!$D$8:$D$42))+1,""),ROW()-1272)),"")</f>
        <v>https://www.comunidad.madrid/gobierno</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Video</v>
      </c>
      <c r="C1278" s="114" t="str" cm="1">
        <f t="array" ref="C1278">IFERROR(INDEX('03.Muestra'!$F$8:$F$42,SMALL(IF("Página Web"='03.Muestra'!$D$8:$D$42,ROW('03.Muestra'!$F$8:$F$42)-MIN(ROW('03.Muestra'!$D$8:$D$42))+1,""),ROW()-1272)),"")</f>
        <v>https://www.comunidad.madrid/noticias/2023/12/18/diaz-ayuso-reconoce-35-personas-han-realizado-actuaciones-extraordinarias-ayuda-servicio-metro-este-ano-representan-valores-madrid</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Contacto</v>
      </c>
      <c r="C1279" s="114" t="str" cm="1">
        <f t="array" ref="C1279">IFERROR(INDEX('03.Muestra'!$F$8:$F$42,SMALL(IF("Página Web"='03.Muestra'!$D$8:$D$42,ROW('03.Muestra'!$F$8:$F$42)-MIN(ROW('03.Muestra'!$D$8:$D$42))+1,""),ROW()-1272)),"")</f>
        <v>https://www.comunidad.madrid/servicios/atencion-ciudadano</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Aviso Legal</v>
      </c>
      <c r="C1280" s="114" t="str" cm="1">
        <f t="array" ref="C1280">IFERROR(INDEX('03.Muestra'!$F$8:$F$42,SMALL(IF("Página Web"='03.Muestra'!$D$8:$D$42,ROW('03.Muestra'!$F$8:$F$42)-MIN(ROW('03.Muestra'!$D$8:$D$42))+1,""),ROW()-1272)),"")</f>
        <v>https://www.comunidad.madrid/servicios/informacion-atencion-ciudadano/aviso-legal-privacidad</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Mapa web</v>
      </c>
      <c r="C1281" s="114" t="str" cm="1">
        <f t="array" ref="C1281">IFERROR(INDEX('03.Muestra'!$F$8:$F$42,SMALL(IF("Página Web"='03.Muestra'!$D$8:$D$42,ROW('03.Muestra'!$F$8:$F$42)-MIN(ROW('03.Muestra'!$D$8:$D$42))+1,""),ROW()-1272)),"")</f>
        <v>https://www.comunidad.madrid/sitemap</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Accesibilidad</v>
      </c>
      <c r="C1282" s="114" t="str" cm="1">
        <f t="array" ref="C1282">IFERROR(INDEX('03.Muestra'!$F$8:$F$42,SMALL(IF("Página Web"='03.Muestra'!$D$8:$D$42,ROW('03.Muestra'!$F$8:$F$42)-MIN(ROW('03.Muestra'!$D$8:$D$42))+1,""),ROW()-1272)),"")</f>
        <v>https://www.comunidad.madrid/servicios/informacion-atencion-ciudadano/accesibilidad-web</v>
      </c>
      <c r="D1282" s="130" t="s">
        <v>35</v>
      </c>
      <c r="E1282" s="107" t="str">
        <f t="shared" si="66"/>
        <v/>
      </c>
      <c r="F1282" s="19"/>
      <c r="G1282" s="19"/>
      <c r="H1282" s="19"/>
      <c r="I1282" s="19"/>
      <c r="J1282" s="19"/>
      <c r="K1282" s="233"/>
      <c r="L1282" s="19"/>
    </row>
    <row r="1283" spans="1:12" ht="12" customHeight="1">
      <c r="A1283" s="219" t="str" cm="1">
        <f t="array" ref="A1283">IFERROR(INDEX('03.Muestra'!$B$8:$B$42,SMALL(IF("Página Web"='03.Muestra'!$D$8:$D$42,ROW('03.Muestra'!$B$8:$B$42)-MIN(ROW('03.Muestra'!$D$8:$D$42))+1,""),ROW()-1272)),"")</f>
        <v/>
      </c>
      <c r="B1283" s="114" t="str" cm="1">
        <f t="array" ref="B1283">IFERROR(INDEX('03.Muestra'!$C$8:$C$42,SMALL(IF("Página Web"='03.Muestra'!$D$8:$D$42,ROW('03.Muestra'!$C$8:$C$42)-MIN(ROW('03.Muestra'!$D$8:$D$42))+1,""),ROW()-1272)),"")</f>
        <v/>
      </c>
      <c r="C1283" s="114" t="str" cm="1">
        <f t="array" ref="C1283">IFERROR(INDEX('03.Muestra'!$F$8:$F$42,SMALL(IF("Página Web"='03.Muestra'!$D$8:$D$42,ROW('03.Muestra'!$F$8:$F$42)-MIN(ROW('03.Muestra'!$D$8:$D$42))+1,""),ROW()-1272)),"")</f>
        <v/>
      </c>
      <c r="D1283" s="130" t="str">
        <f t="shared" ref="D1283:D1307" si="67">IF(AND(B1283&lt;&gt;"",C1283&lt;&gt;""),"N/T","")</f>
        <v/>
      </c>
      <c r="E1283" s="107" t="str">
        <f t="shared" si="66"/>
        <v/>
      </c>
      <c r="F1283" s="19"/>
      <c r="G1283" s="19"/>
      <c r="H1283" s="19"/>
      <c r="I1283" s="19"/>
      <c r="J1283" s="19"/>
      <c r="K1283" s="233"/>
      <c r="L1283" s="19"/>
    </row>
    <row r="1284" spans="1:12" ht="12" customHeight="1">
      <c r="A1284" s="219" t="str" cm="1">
        <f t="array" ref="A1284">IFERROR(INDEX('03.Muestra'!$B$8:$B$42,SMALL(IF("Página Web"='03.Muestra'!$D$8:$D$42,ROW('03.Muestra'!$B$8:$B$42)-MIN(ROW('03.Muestra'!$D$8:$D$42))+1,""),ROW()-1272)),"")</f>
        <v/>
      </c>
      <c r="B1284" s="114" t="str" cm="1">
        <f t="array" ref="B1284">IFERROR(INDEX('03.Muestra'!$C$8:$C$42,SMALL(IF("Página Web"='03.Muestra'!$D$8:$D$42,ROW('03.Muestra'!$C$8:$C$42)-MIN(ROW('03.Muestra'!$D$8:$D$42))+1,""),ROW()-1272)),"")</f>
        <v/>
      </c>
      <c r="C1284" s="114" t="str" cm="1">
        <f t="array" ref="C1284">IFERROR(INDEX('03.Muestra'!$F$8:$F$42,SMALL(IF("Página Web"='03.Muestra'!$D$8:$D$42,ROW('03.Muestra'!$F$8:$F$42)-MIN(ROW('03.Muestra'!$D$8:$D$42))+1,""),ROW()-1272)),"")</f>
        <v/>
      </c>
      <c r="D1284" s="130" t="str">
        <f t="shared" si="67"/>
        <v/>
      </c>
      <c r="E1284" s="107" t="str">
        <f t="shared" si="66"/>
        <v/>
      </c>
      <c r="F1284" s="19"/>
      <c r="G1284" s="19"/>
      <c r="H1284" s="19"/>
      <c r="I1284" s="19"/>
      <c r="J1284" s="19"/>
      <c r="K1284" s="233"/>
      <c r="L1284" s="19"/>
    </row>
    <row r="1285" spans="1:12" ht="12" customHeight="1">
      <c r="A1285" s="219" t="str" cm="1">
        <f t="array" ref="A1285">IFERROR(INDEX('03.Muestra'!$B$8:$B$42,SMALL(IF("Página Web"='03.Muestra'!$D$8:$D$42,ROW('03.Muestra'!$B$8:$B$42)-MIN(ROW('03.Muestra'!$D$8:$D$42))+1,""),ROW()-1272)),"")</f>
        <v/>
      </c>
      <c r="B1285" s="114" t="str" cm="1">
        <f t="array" ref="B1285">IFERROR(INDEX('03.Muestra'!$C$8:$C$42,SMALL(IF("Página Web"='03.Muestra'!$D$8:$D$42,ROW('03.Muestra'!$C$8:$C$42)-MIN(ROW('03.Muestra'!$D$8:$D$42))+1,""),ROW()-1272)),"")</f>
        <v/>
      </c>
      <c r="C1285" s="114" t="str" cm="1">
        <f t="array" ref="C1285">IFERROR(INDEX('03.Muestra'!$F$8:$F$42,SMALL(IF("Página Web"='03.Muestra'!$D$8:$D$42,ROW('03.Muestra'!$F$8:$F$42)-MIN(ROW('03.Muestra'!$D$8:$D$42))+1,""),ROW()-1272)),"")</f>
        <v/>
      </c>
      <c r="D1285" s="130" t="str">
        <f t="shared" si="67"/>
        <v/>
      </c>
      <c r="E1285" s="107" t="str">
        <f t="shared" si="66"/>
        <v/>
      </c>
      <c r="F1285" s="19"/>
      <c r="G1285" s="19"/>
      <c r="H1285" s="19"/>
      <c r="I1285" s="19"/>
      <c r="J1285" s="19"/>
      <c r="K1285" s="233"/>
      <c r="L1285" s="19"/>
    </row>
    <row r="1286" spans="1:12" ht="12" customHeight="1">
      <c r="A1286" s="219" t="str" cm="1">
        <f t="array" ref="A1286">IFERROR(INDEX('03.Muestra'!$B$8:$B$42,SMALL(IF("Página Web"='03.Muestra'!$D$8:$D$42,ROW('03.Muestra'!$B$8:$B$42)-MIN(ROW('03.Muestra'!$D$8:$D$42))+1,""),ROW()-1272)),"")</f>
        <v/>
      </c>
      <c r="B1286" s="114" t="str" cm="1">
        <f t="array" ref="B1286">IFERROR(INDEX('03.Muestra'!$C$8:$C$42,SMALL(IF("Página Web"='03.Muestra'!$D$8:$D$42,ROW('03.Muestra'!$C$8:$C$42)-MIN(ROW('03.Muestra'!$D$8:$D$42))+1,""),ROW()-1272)),"")</f>
        <v/>
      </c>
      <c r="C1286" s="114" t="str" cm="1">
        <f t="array" ref="C1286">IFERROR(INDEX('03.Muestra'!$F$8:$F$42,SMALL(IF("Página Web"='03.Muestra'!$D$8:$D$42,ROW('03.Muestra'!$F$8:$F$42)-MIN(ROW('03.Muestra'!$D$8:$D$42))+1,""),ROW()-1272)),"")</f>
        <v/>
      </c>
      <c r="D1286" s="130" t="str">
        <f t="shared" si="67"/>
        <v/>
      </c>
      <c r="E1286" s="107" t="str">
        <f t="shared" si="66"/>
        <v/>
      </c>
      <c r="F1286" s="19"/>
      <c r="G1286" s="19"/>
      <c r="H1286" s="19"/>
      <c r="I1286" s="19"/>
      <c r="J1286" s="19"/>
      <c r="K1286" s="233"/>
      <c r="L1286" s="19"/>
    </row>
    <row r="1287" spans="1:12" ht="12" customHeight="1">
      <c r="A1287" s="219" t="str" cm="1">
        <f t="array" ref="A1287">IFERROR(INDEX('03.Muestra'!$B$8:$B$42,SMALL(IF("Página Web"='03.Muestra'!$D$8:$D$42,ROW('03.Muestra'!$B$8:$B$42)-MIN(ROW('03.Muestra'!$D$8:$D$42))+1,""),ROW()-1272)),"")</f>
        <v/>
      </c>
      <c r="B1287" s="114" t="str" cm="1">
        <f t="array" ref="B1287">IFERROR(INDEX('03.Muestra'!$C$8:$C$42,SMALL(IF("Página Web"='03.Muestra'!$D$8:$D$42,ROW('03.Muestra'!$C$8:$C$42)-MIN(ROW('03.Muestra'!$D$8:$D$42))+1,""),ROW()-1272)),"")</f>
        <v/>
      </c>
      <c r="C1287" s="114" t="str" cm="1">
        <f t="array" ref="C1287">IFERROR(INDEX('03.Muestra'!$F$8:$F$42,SMALL(IF("Página Web"='03.Muestra'!$D$8:$D$42,ROW('03.Muestra'!$F$8:$F$42)-MIN(ROW('03.Muestra'!$D$8:$D$42))+1,""),ROW()-1272)),"")</f>
        <v/>
      </c>
      <c r="D1287" s="130" t="str">
        <f t="shared" si="67"/>
        <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si="67"/>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Servicios e información</v>
      </c>
      <c r="C1312" s="114" t="str" cm="1">
        <f t="array" ref="C1312">IFERROR(INDEX('03.Muestra'!$F$8:$F$42,SMALL(IF("Página Web"='03.Muestra'!$D$8:$D$42,ROW('03.Muestra'!$F$8:$F$42)-MIN(ROW('03.Muestra'!$D$8:$D$42))+1,""),ROW()-1310)),"")</f>
        <v>https://www.comunidad.madrid/servicios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10</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Cultura y turismo</v>
      </c>
      <c r="C1313" s="114" t="str" cm="1">
        <f t="array" ref="C1313">IFERROR(INDEX('03.Muestra'!$F$8:$F$42,SMALL(IF("Página Web"='03.Muestra'!$D$8:$D$42,ROW('03.Muestra'!$F$8:$F$42)-MIN(ROW('03.Muestra'!$D$8:$D$42))+1,""),ROW()-1310)),"")</f>
        <v>https://www.comunidad.madrid/cultura</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Inversión y empresa</v>
      </c>
      <c r="C1314" s="114" t="str" cm="1">
        <f t="array" ref="C1314">IFERROR(INDEX('03.Muestra'!$F$8:$F$42,SMALL(IF("Página Web"='03.Muestra'!$D$8:$D$42,ROW('03.Muestra'!$F$8:$F$42)-MIN(ROW('03.Muestra'!$D$8:$D$42))+1,""),ROW()-1310)),"")</f>
        <v>https://www.comunidad.madrid/inversion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Acción de gobierno</v>
      </c>
      <c r="C1315" s="114" t="str" cm="1">
        <f t="array" ref="C1315">IFERROR(INDEX('03.Muestra'!$F$8:$F$42,SMALL(IF("Página Web"='03.Muestra'!$D$8:$D$42,ROW('03.Muestra'!$F$8:$F$42)-MIN(ROW('03.Muestra'!$D$8:$D$42))+1,""),ROW()-1310)),"")</f>
        <v>https://www.comunidad.madrid/gobierno</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Video</v>
      </c>
      <c r="C1316" s="114" t="str" cm="1">
        <f t="array" ref="C1316">IFERROR(INDEX('03.Muestra'!$F$8:$F$42,SMALL(IF("Página Web"='03.Muestra'!$D$8:$D$42,ROW('03.Muestra'!$F$8:$F$42)-MIN(ROW('03.Muestra'!$D$8:$D$42))+1,""),ROW()-1310)),"")</f>
        <v>https://www.comunidad.madrid/noticias/2023/12/18/diaz-ayuso-reconoce-35-personas-han-realizado-actuaciones-extraordinarias-ayuda-servicio-metro-este-ano-representan-valores-madrid</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Contacto</v>
      </c>
      <c r="C1317" s="114" t="str" cm="1">
        <f t="array" ref="C1317">IFERROR(INDEX('03.Muestra'!$F$8:$F$42,SMALL(IF("Página Web"='03.Muestra'!$D$8:$D$42,ROW('03.Muestra'!$F$8:$F$42)-MIN(ROW('03.Muestra'!$D$8:$D$42))+1,""),ROW()-1310)),"")</f>
        <v>https://www.comunidad.madrid/servicios/atencion-ciudadano</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Aviso Legal</v>
      </c>
      <c r="C1318" s="114" t="str" cm="1">
        <f t="array" ref="C1318">IFERROR(INDEX('03.Muestra'!$F$8:$F$42,SMALL(IF("Página Web"='03.Muestra'!$D$8:$D$42,ROW('03.Muestra'!$F$8:$F$42)-MIN(ROW('03.Muestra'!$D$8:$D$42))+1,""),ROW()-1310)),"")</f>
        <v>https://www.comunidad.madrid/servicios/informacion-atencion-ciudadano/aviso-legal-privacidad</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Mapa web</v>
      </c>
      <c r="C1319" s="114" t="str" cm="1">
        <f t="array" ref="C1319">IFERROR(INDEX('03.Muestra'!$F$8:$F$42,SMALL(IF("Página Web"='03.Muestra'!$D$8:$D$42,ROW('03.Muestra'!$F$8:$F$42)-MIN(ROW('03.Muestra'!$D$8:$D$42))+1,""),ROW()-1310)),"")</f>
        <v>https://www.comunidad.madrid/sitemap</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Accesibilidad</v>
      </c>
      <c r="C1320" s="114" t="str" cm="1">
        <f t="array" ref="C1320">IFERROR(INDEX('03.Muestra'!$F$8:$F$42,SMALL(IF("Página Web"='03.Muestra'!$D$8:$D$42,ROW('03.Muestra'!$F$8:$F$42)-MIN(ROW('03.Muestra'!$D$8:$D$42))+1,""),ROW()-1310)),"")</f>
        <v>https://www.comunidad.madrid/servicios/informacion-atencion-ciudadano/accesibilidad-web</v>
      </c>
      <c r="D1320" s="130" t="s">
        <v>26</v>
      </c>
      <c r="E1320" s="107" t="str">
        <f t="shared" si="68"/>
        <v/>
      </c>
      <c r="F1320" s="19"/>
      <c r="G1320" s="19"/>
      <c r="H1320" s="19"/>
      <c r="I1320" s="19"/>
      <c r="J1320" s="19"/>
      <c r="K1320" s="233"/>
      <c r="L1320" s="19"/>
    </row>
    <row r="1321" spans="1:12" ht="12" customHeight="1">
      <c r="A1321" s="219" t="str" cm="1">
        <f t="array" ref="A1321">IFERROR(INDEX('03.Muestra'!$B$8:$B$42,SMALL(IF("Página Web"='03.Muestra'!$D$8:$D$42,ROW('03.Muestra'!$B$8:$B$42)-MIN(ROW('03.Muestra'!$D$8:$D$42))+1,""),ROW()-1310)),"")</f>
        <v/>
      </c>
      <c r="B1321" s="114" t="str" cm="1">
        <f t="array" ref="B1321">IFERROR(INDEX('03.Muestra'!$C$8:$C$42,SMALL(IF("Página Web"='03.Muestra'!$D$8:$D$42,ROW('03.Muestra'!$C$8:$C$42)-MIN(ROW('03.Muestra'!$D$8:$D$42))+1,""),ROW()-1310)),"")</f>
        <v/>
      </c>
      <c r="C1321" s="114" t="str" cm="1">
        <f t="array" ref="C1321">IFERROR(INDEX('03.Muestra'!$F$8:$F$42,SMALL(IF("Página Web"='03.Muestra'!$D$8:$D$42,ROW('03.Muestra'!$F$8:$F$42)-MIN(ROW('03.Muestra'!$D$8:$D$42))+1,""),ROW()-1310)),"")</f>
        <v/>
      </c>
      <c r="D1321" s="130" t="str">
        <f t="shared" ref="D1321:D1345" si="69">IF(AND(B1321&lt;&gt;"",C1321&lt;&gt;""),"N/T","")</f>
        <v/>
      </c>
      <c r="E1321" s="107" t="str">
        <f t="shared" si="68"/>
        <v/>
      </c>
      <c r="F1321" s="19"/>
      <c r="G1321" s="19"/>
      <c r="H1321" s="19"/>
      <c r="I1321" s="19"/>
      <c r="J1321" s="19"/>
      <c r="K1321" s="233"/>
      <c r="L1321" s="19"/>
    </row>
    <row r="1322" spans="1:12" ht="12" customHeight="1">
      <c r="A1322" s="219" t="str" cm="1">
        <f t="array" ref="A1322">IFERROR(INDEX('03.Muestra'!$B$8:$B$42,SMALL(IF("Página Web"='03.Muestra'!$D$8:$D$42,ROW('03.Muestra'!$B$8:$B$42)-MIN(ROW('03.Muestra'!$D$8:$D$42))+1,""),ROW()-1310)),"")</f>
        <v/>
      </c>
      <c r="B1322" s="114" t="str" cm="1">
        <f t="array" ref="B1322">IFERROR(INDEX('03.Muestra'!$C$8:$C$42,SMALL(IF("Página Web"='03.Muestra'!$D$8:$D$42,ROW('03.Muestra'!$C$8:$C$42)-MIN(ROW('03.Muestra'!$D$8:$D$42))+1,""),ROW()-1310)),"")</f>
        <v/>
      </c>
      <c r="C1322" s="114" t="str" cm="1">
        <f t="array" ref="C1322">IFERROR(INDEX('03.Muestra'!$F$8:$F$42,SMALL(IF("Página Web"='03.Muestra'!$D$8:$D$42,ROW('03.Muestra'!$F$8:$F$42)-MIN(ROW('03.Muestra'!$D$8:$D$42))+1,""),ROW()-1310)),"")</f>
        <v/>
      </c>
      <c r="D1322" s="130" t="str">
        <f t="shared" si="69"/>
        <v/>
      </c>
      <c r="E1322" s="107" t="str">
        <f t="shared" si="68"/>
        <v/>
      </c>
      <c r="F1322" s="19"/>
      <c r="G1322" s="19"/>
      <c r="H1322" s="19"/>
      <c r="I1322" s="19"/>
      <c r="J1322" s="19"/>
      <c r="K1322" s="233"/>
      <c r="L1322" s="19"/>
    </row>
    <row r="1323" spans="1:12" ht="12" customHeight="1">
      <c r="A1323" s="219" t="str" cm="1">
        <f t="array" ref="A1323">IFERROR(INDEX('03.Muestra'!$B$8:$B$42,SMALL(IF("Página Web"='03.Muestra'!$D$8:$D$42,ROW('03.Muestra'!$B$8:$B$42)-MIN(ROW('03.Muestra'!$D$8:$D$42))+1,""),ROW()-1310)),"")</f>
        <v/>
      </c>
      <c r="B1323" s="114" t="str" cm="1">
        <f t="array" ref="B1323">IFERROR(INDEX('03.Muestra'!$C$8:$C$42,SMALL(IF("Página Web"='03.Muestra'!$D$8:$D$42,ROW('03.Muestra'!$C$8:$C$42)-MIN(ROW('03.Muestra'!$D$8:$D$42))+1,""),ROW()-1310)),"")</f>
        <v/>
      </c>
      <c r="C1323" s="114" t="str" cm="1">
        <f t="array" ref="C1323">IFERROR(INDEX('03.Muestra'!$F$8:$F$42,SMALL(IF("Página Web"='03.Muestra'!$D$8:$D$42,ROW('03.Muestra'!$F$8:$F$42)-MIN(ROW('03.Muestra'!$D$8:$D$42))+1,""),ROW()-1310)),"")</f>
        <v/>
      </c>
      <c r="D1323" s="130" t="str">
        <f t="shared" si="69"/>
        <v/>
      </c>
      <c r="E1323" s="107" t="str">
        <f t="shared" si="68"/>
        <v/>
      </c>
      <c r="F1323" s="19"/>
      <c r="G1323" s="19"/>
      <c r="H1323" s="19"/>
      <c r="I1323" s="19"/>
      <c r="J1323" s="19"/>
      <c r="K1323" s="233"/>
      <c r="L1323" s="19"/>
    </row>
    <row r="1324" spans="1:12" ht="12" customHeight="1">
      <c r="A1324" s="219" t="str" cm="1">
        <f t="array" ref="A1324">IFERROR(INDEX('03.Muestra'!$B$8:$B$42,SMALL(IF("Página Web"='03.Muestra'!$D$8:$D$42,ROW('03.Muestra'!$B$8:$B$42)-MIN(ROW('03.Muestra'!$D$8:$D$42))+1,""),ROW()-1310)),"")</f>
        <v/>
      </c>
      <c r="B1324" s="114" t="str" cm="1">
        <f t="array" ref="B1324">IFERROR(INDEX('03.Muestra'!$C$8:$C$42,SMALL(IF("Página Web"='03.Muestra'!$D$8:$D$42,ROW('03.Muestra'!$C$8:$C$42)-MIN(ROW('03.Muestra'!$D$8:$D$42))+1,""),ROW()-1310)),"")</f>
        <v/>
      </c>
      <c r="C1324" s="114" t="str" cm="1">
        <f t="array" ref="C1324">IFERROR(INDEX('03.Muestra'!$F$8:$F$42,SMALL(IF("Página Web"='03.Muestra'!$D$8:$D$42,ROW('03.Muestra'!$F$8:$F$42)-MIN(ROW('03.Muestra'!$D$8:$D$42))+1,""),ROW()-1310)),"")</f>
        <v/>
      </c>
      <c r="D1324" s="130" t="str">
        <f t="shared" si="69"/>
        <v/>
      </c>
      <c r="E1324" s="107" t="str">
        <f t="shared" si="68"/>
        <v/>
      </c>
      <c r="F1324" s="19"/>
      <c r="G1324" s="19"/>
      <c r="H1324" s="19"/>
      <c r="I1324" s="19"/>
      <c r="J1324" s="19"/>
      <c r="K1324" s="233"/>
      <c r="L1324" s="19"/>
    </row>
    <row r="1325" spans="1:12" ht="12" customHeight="1">
      <c r="A1325" s="219" t="str" cm="1">
        <f t="array" ref="A1325">IFERROR(INDEX('03.Muestra'!$B$8:$B$42,SMALL(IF("Página Web"='03.Muestra'!$D$8:$D$42,ROW('03.Muestra'!$B$8:$B$42)-MIN(ROW('03.Muestra'!$D$8:$D$42))+1,""),ROW()-1310)),"")</f>
        <v/>
      </c>
      <c r="B1325" s="114" t="str" cm="1">
        <f t="array" ref="B1325">IFERROR(INDEX('03.Muestra'!$C$8:$C$42,SMALL(IF("Página Web"='03.Muestra'!$D$8:$D$42,ROW('03.Muestra'!$C$8:$C$42)-MIN(ROW('03.Muestra'!$D$8:$D$42))+1,""),ROW()-1310)),"")</f>
        <v/>
      </c>
      <c r="C1325" s="114" t="str" cm="1">
        <f t="array" ref="C1325">IFERROR(INDEX('03.Muestra'!$F$8:$F$42,SMALL(IF("Página Web"='03.Muestra'!$D$8:$D$42,ROW('03.Muestra'!$F$8:$F$42)-MIN(ROW('03.Muestra'!$D$8:$D$42))+1,""),ROW()-1310)),"")</f>
        <v/>
      </c>
      <c r="D1325" s="130" t="str">
        <f t="shared" si="69"/>
        <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si="69"/>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Servicios e información</v>
      </c>
      <c r="C1350" s="114" t="str" cm="1">
        <f t="array" ref="C1350">IFERROR(INDEX('03.Muestra'!$F$8:$F$42,SMALL(IF("Página Web"='03.Muestra'!$D$8:$D$42,ROW('03.Muestra'!$F$8:$F$42)-MIN(ROW('03.Muestra'!$D$8:$D$42))+1,""),ROW()-1348)),"")</f>
        <v>https://www.comunidad.madrid/servicios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Cultura y turismo</v>
      </c>
      <c r="C1351" s="114" t="str" cm="1">
        <f t="array" ref="C1351">IFERROR(INDEX('03.Muestra'!$F$8:$F$42,SMALL(IF("Página Web"='03.Muestra'!$D$8:$D$42,ROW('03.Muestra'!$F$8:$F$42)-MIN(ROW('03.Muestra'!$D$8:$D$42))+1,""),ROW()-1348)),"")</f>
        <v>https://www.comunidad.madrid/cultura</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Inversión y empresa</v>
      </c>
      <c r="C1352" s="114" t="str" cm="1">
        <f t="array" ref="C1352">IFERROR(INDEX('03.Muestra'!$F$8:$F$42,SMALL(IF("Página Web"='03.Muestra'!$D$8:$D$42,ROW('03.Muestra'!$F$8:$F$42)-MIN(ROW('03.Muestra'!$D$8:$D$42))+1,""),ROW()-1348)),"")</f>
        <v>https://www.comunidad.madrid/inversion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Acción de gobierno</v>
      </c>
      <c r="C1353" s="114" t="str" cm="1">
        <f t="array" ref="C1353">IFERROR(INDEX('03.Muestra'!$F$8:$F$42,SMALL(IF("Página Web"='03.Muestra'!$D$8:$D$42,ROW('03.Muestra'!$F$8:$F$42)-MIN(ROW('03.Muestra'!$D$8:$D$42))+1,""),ROW()-1348)),"")</f>
        <v>https://www.comunidad.madrid/gobierno</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Video</v>
      </c>
      <c r="C1354" s="114" t="str" cm="1">
        <f t="array" ref="C1354">IFERROR(INDEX('03.Muestra'!$F$8:$F$42,SMALL(IF("Página Web"='03.Muestra'!$D$8:$D$42,ROW('03.Muestra'!$F$8:$F$42)-MIN(ROW('03.Muestra'!$D$8:$D$42))+1,""),ROW()-1348)),"")</f>
        <v>https://www.comunidad.madrid/noticias/2023/12/18/diaz-ayuso-reconoce-35-personas-han-realizado-actuaciones-extraordinarias-ayuda-servicio-metro-este-ano-representan-valores-madrid</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Contacto</v>
      </c>
      <c r="C1355" s="114" t="str" cm="1">
        <f t="array" ref="C1355">IFERROR(INDEX('03.Muestra'!$F$8:$F$42,SMALL(IF("Página Web"='03.Muestra'!$D$8:$D$42,ROW('03.Muestra'!$F$8:$F$42)-MIN(ROW('03.Muestra'!$D$8:$D$42))+1,""),ROW()-1348)),"")</f>
        <v>https://www.comunidad.madrid/servicios/atencion-ciudadano</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Aviso Legal</v>
      </c>
      <c r="C1356" s="114" t="str" cm="1">
        <f t="array" ref="C1356">IFERROR(INDEX('03.Muestra'!$F$8:$F$42,SMALL(IF("Página Web"='03.Muestra'!$D$8:$D$42,ROW('03.Muestra'!$F$8:$F$42)-MIN(ROW('03.Muestra'!$D$8:$D$42))+1,""),ROW()-1348)),"")</f>
        <v>https://www.comunidad.madrid/servicios/informacion-atencion-ciudadano/aviso-legal-privacidad</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Mapa web</v>
      </c>
      <c r="C1357" s="114" t="str" cm="1">
        <f t="array" ref="C1357">IFERROR(INDEX('03.Muestra'!$F$8:$F$42,SMALL(IF("Página Web"='03.Muestra'!$D$8:$D$42,ROW('03.Muestra'!$F$8:$F$42)-MIN(ROW('03.Muestra'!$D$8:$D$42))+1,""),ROW()-1348)),"")</f>
        <v>https://www.comunidad.madrid/sitemap</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Accesibilidad</v>
      </c>
      <c r="C1358" s="114" t="str" cm="1">
        <f t="array" ref="C1358">IFERROR(INDEX('03.Muestra'!$F$8:$F$42,SMALL(IF("Página Web"='03.Muestra'!$D$8:$D$42,ROW('03.Muestra'!$F$8:$F$42)-MIN(ROW('03.Muestra'!$D$8:$D$42))+1,""),ROW()-1348)),"")</f>
        <v>https://www.comunidad.madrid/servicios/informacion-atencion-ciudadano/accesibilidad-web</v>
      </c>
      <c r="D1358" s="130" t="s">
        <v>35</v>
      </c>
      <c r="E1358" s="107" t="str">
        <f t="shared" si="70"/>
        <v/>
      </c>
      <c r="F1358" s="19"/>
      <c r="G1358" s="19"/>
      <c r="H1358" s="19"/>
      <c r="I1358" s="19"/>
      <c r="J1358" s="19"/>
      <c r="K1358" s="233"/>
      <c r="L1358" s="19"/>
    </row>
    <row r="1359" spans="1:12" ht="12" customHeight="1">
      <c r="A1359" s="219" t="str" cm="1">
        <f t="array" ref="A1359">IFERROR(INDEX('03.Muestra'!$B$8:$B$42,SMALL(IF("Página Web"='03.Muestra'!$D$8:$D$42,ROW('03.Muestra'!$B$8:$B$42)-MIN(ROW('03.Muestra'!$D$8:$D$42))+1,""),ROW()-1348)),"")</f>
        <v/>
      </c>
      <c r="B1359" s="114" t="str" cm="1">
        <f t="array" ref="B1359">IFERROR(INDEX('03.Muestra'!$C$8:$C$42,SMALL(IF("Página Web"='03.Muestra'!$D$8:$D$42,ROW('03.Muestra'!$C$8:$C$42)-MIN(ROW('03.Muestra'!$D$8:$D$42))+1,""),ROW()-1348)),"")</f>
        <v/>
      </c>
      <c r="C1359" s="114" t="str" cm="1">
        <f t="array" ref="C1359">IFERROR(INDEX('03.Muestra'!$F$8:$F$42,SMALL(IF("Página Web"='03.Muestra'!$D$8:$D$42,ROW('03.Muestra'!$F$8:$F$42)-MIN(ROW('03.Muestra'!$D$8:$D$42))+1,""),ROW()-1348)),"")</f>
        <v/>
      </c>
      <c r="D1359" s="130" t="str">
        <f t="shared" ref="D1359:D1383" si="71">IF(AND(B1359&lt;&gt;"",C1359&lt;&gt;""),"N/T","")</f>
        <v/>
      </c>
      <c r="E1359" s="107" t="str">
        <f t="shared" si="70"/>
        <v/>
      </c>
      <c r="F1359" s="19"/>
      <c r="G1359" s="19"/>
      <c r="H1359" s="19"/>
      <c r="I1359" s="19"/>
      <c r="J1359" s="19"/>
      <c r="K1359" s="233"/>
      <c r="L1359" s="19"/>
    </row>
    <row r="1360" spans="1:12" ht="12" customHeight="1">
      <c r="A1360" s="219" t="str" cm="1">
        <f t="array" ref="A1360">IFERROR(INDEX('03.Muestra'!$B$8:$B$42,SMALL(IF("Página Web"='03.Muestra'!$D$8:$D$42,ROW('03.Muestra'!$B$8:$B$42)-MIN(ROW('03.Muestra'!$D$8:$D$42))+1,""),ROW()-1348)),"")</f>
        <v/>
      </c>
      <c r="B1360" s="114" t="str" cm="1">
        <f t="array" ref="B1360">IFERROR(INDEX('03.Muestra'!$C$8:$C$42,SMALL(IF("Página Web"='03.Muestra'!$D$8:$D$42,ROW('03.Muestra'!$C$8:$C$42)-MIN(ROW('03.Muestra'!$D$8:$D$42))+1,""),ROW()-1348)),"")</f>
        <v/>
      </c>
      <c r="C1360" s="114" t="str" cm="1">
        <f t="array" ref="C1360">IFERROR(INDEX('03.Muestra'!$F$8:$F$42,SMALL(IF("Página Web"='03.Muestra'!$D$8:$D$42,ROW('03.Muestra'!$F$8:$F$42)-MIN(ROW('03.Muestra'!$D$8:$D$42))+1,""),ROW()-1348)),"")</f>
        <v/>
      </c>
      <c r="D1360" s="130" t="str">
        <f t="shared" si="71"/>
        <v/>
      </c>
      <c r="E1360" s="107" t="str">
        <f t="shared" si="70"/>
        <v/>
      </c>
      <c r="F1360" s="19"/>
      <c r="G1360" s="19"/>
      <c r="H1360" s="19"/>
      <c r="I1360" s="19"/>
      <c r="J1360" s="19"/>
      <c r="K1360" s="233"/>
      <c r="L1360" s="19"/>
    </row>
    <row r="1361" spans="1:12" ht="12" customHeight="1">
      <c r="A1361" s="219" t="str" cm="1">
        <f t="array" ref="A1361">IFERROR(INDEX('03.Muestra'!$B$8:$B$42,SMALL(IF("Página Web"='03.Muestra'!$D$8:$D$42,ROW('03.Muestra'!$B$8:$B$42)-MIN(ROW('03.Muestra'!$D$8:$D$42))+1,""),ROW()-1348)),"")</f>
        <v/>
      </c>
      <c r="B1361" s="114" t="str" cm="1">
        <f t="array" ref="B1361">IFERROR(INDEX('03.Muestra'!$C$8:$C$42,SMALL(IF("Página Web"='03.Muestra'!$D$8:$D$42,ROW('03.Muestra'!$C$8:$C$42)-MIN(ROW('03.Muestra'!$D$8:$D$42))+1,""),ROW()-1348)),"")</f>
        <v/>
      </c>
      <c r="C1361" s="114" t="str" cm="1">
        <f t="array" ref="C1361">IFERROR(INDEX('03.Muestra'!$F$8:$F$42,SMALL(IF("Página Web"='03.Muestra'!$D$8:$D$42,ROW('03.Muestra'!$F$8:$F$42)-MIN(ROW('03.Muestra'!$D$8:$D$42))+1,""),ROW()-1348)),"")</f>
        <v/>
      </c>
      <c r="D1361" s="130" t="str">
        <f t="shared" si="71"/>
        <v/>
      </c>
      <c r="E1361" s="107" t="str">
        <f t="shared" si="70"/>
        <v/>
      </c>
      <c r="F1361" s="19"/>
      <c r="G1361" s="19"/>
      <c r="H1361" s="19"/>
      <c r="I1361" s="19"/>
      <c r="J1361" s="19"/>
      <c r="K1361" s="233"/>
      <c r="L1361" s="19"/>
    </row>
    <row r="1362" spans="1:12" ht="12" customHeight="1">
      <c r="A1362" s="219" t="str" cm="1">
        <f t="array" ref="A1362">IFERROR(INDEX('03.Muestra'!$B$8:$B$42,SMALL(IF("Página Web"='03.Muestra'!$D$8:$D$42,ROW('03.Muestra'!$B$8:$B$42)-MIN(ROW('03.Muestra'!$D$8:$D$42))+1,""),ROW()-1348)),"")</f>
        <v/>
      </c>
      <c r="B1362" s="114" t="str" cm="1">
        <f t="array" ref="B1362">IFERROR(INDEX('03.Muestra'!$C$8:$C$42,SMALL(IF("Página Web"='03.Muestra'!$D$8:$D$42,ROW('03.Muestra'!$C$8:$C$42)-MIN(ROW('03.Muestra'!$D$8:$D$42))+1,""),ROW()-1348)),"")</f>
        <v/>
      </c>
      <c r="C1362" s="114" t="str" cm="1">
        <f t="array" ref="C1362">IFERROR(INDEX('03.Muestra'!$F$8:$F$42,SMALL(IF("Página Web"='03.Muestra'!$D$8:$D$42,ROW('03.Muestra'!$F$8:$F$42)-MIN(ROW('03.Muestra'!$D$8:$D$42))+1,""),ROW()-1348)),"")</f>
        <v/>
      </c>
      <c r="D1362" s="130" t="str">
        <f t="shared" si="71"/>
        <v/>
      </c>
      <c r="E1362" s="107" t="str">
        <f t="shared" si="70"/>
        <v/>
      </c>
      <c r="F1362" s="19"/>
      <c r="G1362" s="19"/>
      <c r="H1362" s="19"/>
      <c r="I1362" s="19"/>
      <c r="J1362" s="19"/>
      <c r="K1362" s="233"/>
      <c r="L1362" s="19"/>
    </row>
    <row r="1363" spans="1:12" ht="12" customHeight="1">
      <c r="A1363" s="219" t="str" cm="1">
        <f t="array" ref="A1363">IFERROR(INDEX('03.Muestra'!$B$8:$B$42,SMALL(IF("Página Web"='03.Muestra'!$D$8:$D$42,ROW('03.Muestra'!$B$8:$B$42)-MIN(ROW('03.Muestra'!$D$8:$D$42))+1,""),ROW()-1348)),"")</f>
        <v/>
      </c>
      <c r="B1363" s="114" t="str" cm="1">
        <f t="array" ref="B1363">IFERROR(INDEX('03.Muestra'!$C$8:$C$42,SMALL(IF("Página Web"='03.Muestra'!$D$8:$D$42,ROW('03.Muestra'!$C$8:$C$42)-MIN(ROW('03.Muestra'!$D$8:$D$42))+1,""),ROW()-1348)),"")</f>
        <v/>
      </c>
      <c r="C1363" s="114" t="str" cm="1">
        <f t="array" ref="C1363">IFERROR(INDEX('03.Muestra'!$F$8:$F$42,SMALL(IF("Página Web"='03.Muestra'!$D$8:$D$42,ROW('03.Muestra'!$F$8:$F$42)-MIN(ROW('03.Muestra'!$D$8:$D$42))+1,""),ROW()-1348)),"")</f>
        <v/>
      </c>
      <c r="D1363" s="130" t="str">
        <f t="shared" si="71"/>
        <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si="71"/>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v>
      </c>
      <c r="D1387" s="130" t="s">
        <v>26</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Servicios e información</v>
      </c>
      <c r="C1388" s="114" t="str" cm="1">
        <f t="array" ref="C1388">IFERROR(INDEX('03.Muestra'!$F$8:$F$42,SMALL(IF("Página Web"='03.Muestra'!$D$8:$D$42,ROW('03.Muestra'!$F$8:$F$42)-MIN(ROW('03.Muestra'!$D$8:$D$42))+1,""),ROW()-1386)),"")</f>
        <v>https://www.comunidad.madrid/servicios</v>
      </c>
      <c r="D1388" s="130" t="s">
        <v>26</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10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Cultura y turismo</v>
      </c>
      <c r="C1389" s="114" t="str" cm="1">
        <f t="array" ref="C1389">IFERROR(INDEX('03.Muestra'!$F$8:$F$42,SMALL(IF("Página Web"='03.Muestra'!$D$8:$D$42,ROW('03.Muestra'!$F$8:$F$42)-MIN(ROW('03.Muestra'!$D$8:$D$42))+1,""),ROW()-1386)),"")</f>
        <v>https://www.comunidad.madrid/cultura</v>
      </c>
      <c r="D1389" s="130" t="s">
        <v>26</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Inversión y empresa</v>
      </c>
      <c r="C1390" s="114" t="str" cm="1">
        <f t="array" ref="C1390">IFERROR(INDEX('03.Muestra'!$F$8:$F$42,SMALL(IF("Página Web"='03.Muestra'!$D$8:$D$42,ROW('03.Muestra'!$F$8:$F$42)-MIN(ROW('03.Muestra'!$D$8:$D$42))+1,""),ROW()-1386)),"")</f>
        <v>https://www.comunidad.madrid/inversion</v>
      </c>
      <c r="D1390" s="130" t="s">
        <v>26</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Acción de gobierno</v>
      </c>
      <c r="C1391" s="114" t="str" cm="1">
        <f t="array" ref="C1391">IFERROR(INDEX('03.Muestra'!$F$8:$F$42,SMALL(IF("Página Web"='03.Muestra'!$D$8:$D$42,ROW('03.Muestra'!$F$8:$F$42)-MIN(ROW('03.Muestra'!$D$8:$D$42))+1,""),ROW()-1386)),"")</f>
        <v>https://www.comunidad.madrid/gobierno</v>
      </c>
      <c r="D1391" s="130" t="s">
        <v>26</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Video</v>
      </c>
      <c r="C1392" s="114" t="str" cm="1">
        <f t="array" ref="C1392">IFERROR(INDEX('03.Muestra'!$F$8:$F$42,SMALL(IF("Página Web"='03.Muestra'!$D$8:$D$42,ROW('03.Muestra'!$F$8:$F$42)-MIN(ROW('03.Muestra'!$D$8:$D$42))+1,""),ROW()-1386)),"")</f>
        <v>https://www.comunidad.madrid/noticias/2023/12/18/diaz-ayuso-reconoce-35-personas-han-realizado-actuaciones-extraordinarias-ayuda-servicio-metro-este-ano-representan-valores-madrid</v>
      </c>
      <c r="D1392" s="130" t="s">
        <v>26</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Contacto</v>
      </c>
      <c r="C1393" s="114" t="str" cm="1">
        <f t="array" ref="C1393">IFERROR(INDEX('03.Muestra'!$F$8:$F$42,SMALL(IF("Página Web"='03.Muestra'!$D$8:$D$42,ROW('03.Muestra'!$F$8:$F$42)-MIN(ROW('03.Muestra'!$D$8:$D$42))+1,""),ROW()-1386)),"")</f>
        <v>https://www.comunidad.madrid/servicios/atencion-ciudadano</v>
      </c>
      <c r="D1393" s="130" t="s">
        <v>26</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Aviso Legal</v>
      </c>
      <c r="C1394" s="114" t="str" cm="1">
        <f t="array" ref="C1394">IFERROR(INDEX('03.Muestra'!$F$8:$F$42,SMALL(IF("Página Web"='03.Muestra'!$D$8:$D$42,ROW('03.Muestra'!$F$8:$F$42)-MIN(ROW('03.Muestra'!$D$8:$D$42))+1,""),ROW()-1386)),"")</f>
        <v>https://www.comunidad.madrid/servicios/informacion-atencion-ciudadano/aviso-legal-privacidad</v>
      </c>
      <c r="D1394" s="130" t="s">
        <v>26</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Mapa web</v>
      </c>
      <c r="C1395" s="114" t="str" cm="1">
        <f t="array" ref="C1395">IFERROR(INDEX('03.Muestra'!$F$8:$F$42,SMALL(IF("Página Web"='03.Muestra'!$D$8:$D$42,ROW('03.Muestra'!$F$8:$F$42)-MIN(ROW('03.Muestra'!$D$8:$D$42))+1,""),ROW()-1386)),"")</f>
        <v>https://www.comunidad.madrid/sitemap</v>
      </c>
      <c r="D1395" s="130" t="s">
        <v>26</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Accesibilidad</v>
      </c>
      <c r="C1396" s="114" t="str" cm="1">
        <f t="array" ref="C1396">IFERROR(INDEX('03.Muestra'!$F$8:$F$42,SMALL(IF("Página Web"='03.Muestra'!$D$8:$D$42,ROW('03.Muestra'!$F$8:$F$42)-MIN(ROW('03.Muestra'!$D$8:$D$42))+1,""),ROW()-1386)),"")</f>
        <v>https://www.comunidad.madrid/servicios/informacion-atencion-ciudadano/accesibilidad-web</v>
      </c>
      <c r="D1396" s="130" t="s">
        <v>26</v>
      </c>
      <c r="E1396" s="107" t="str">
        <f t="shared" si="72"/>
        <v/>
      </c>
      <c r="F1396" s="19"/>
      <c r="G1396" s="19"/>
      <c r="H1396" s="19"/>
      <c r="I1396" s="19"/>
      <c r="J1396" s="19"/>
      <c r="K1396" s="233"/>
      <c r="L1396" s="19"/>
    </row>
    <row r="1397" spans="1:12" ht="12" customHeight="1">
      <c r="A1397" s="219" t="str" cm="1">
        <f t="array" ref="A1397">IFERROR(INDEX('03.Muestra'!$B$8:$B$42,SMALL(IF("Página Web"='03.Muestra'!$D$8:$D$42,ROW('03.Muestra'!$B$8:$B$42)-MIN(ROW('03.Muestra'!$D$8:$D$42))+1,""),ROW()-1386)),"")</f>
        <v/>
      </c>
      <c r="B1397" s="114" t="str" cm="1">
        <f t="array" ref="B1397">IFERROR(INDEX('03.Muestra'!$C$8:$C$42,SMALL(IF("Página Web"='03.Muestra'!$D$8:$D$42,ROW('03.Muestra'!$C$8:$C$42)-MIN(ROW('03.Muestra'!$D$8:$D$42))+1,""),ROW()-1386)),"")</f>
        <v/>
      </c>
      <c r="C1397" s="114" t="str" cm="1">
        <f t="array" ref="C1397">IFERROR(INDEX('03.Muestra'!$F$8:$F$42,SMALL(IF("Página Web"='03.Muestra'!$D$8:$D$42,ROW('03.Muestra'!$F$8:$F$42)-MIN(ROW('03.Muestra'!$D$8:$D$42))+1,""),ROW()-1386)),"")</f>
        <v/>
      </c>
      <c r="D1397" s="130" t="str">
        <f t="shared" ref="D1397:D1421" si="73">IF(AND(B1397&lt;&gt;"",C1397&lt;&gt;""),"N/T","")</f>
        <v/>
      </c>
      <c r="E1397" s="107" t="str">
        <f t="shared" si="72"/>
        <v/>
      </c>
      <c r="F1397" s="19"/>
      <c r="G1397" s="19"/>
      <c r="H1397" s="19"/>
      <c r="I1397" s="19"/>
      <c r="J1397" s="19"/>
      <c r="K1397" s="233"/>
      <c r="L1397" s="19"/>
    </row>
    <row r="1398" spans="1:12" ht="12" customHeight="1">
      <c r="A1398" s="219" t="str" cm="1">
        <f t="array" ref="A1398">IFERROR(INDEX('03.Muestra'!$B$8:$B$42,SMALL(IF("Página Web"='03.Muestra'!$D$8:$D$42,ROW('03.Muestra'!$B$8:$B$42)-MIN(ROW('03.Muestra'!$D$8:$D$42))+1,""),ROW()-1386)),"")</f>
        <v/>
      </c>
      <c r="B1398" s="114" t="str" cm="1">
        <f t="array" ref="B1398">IFERROR(INDEX('03.Muestra'!$C$8:$C$42,SMALL(IF("Página Web"='03.Muestra'!$D$8:$D$42,ROW('03.Muestra'!$C$8:$C$42)-MIN(ROW('03.Muestra'!$D$8:$D$42))+1,""),ROW()-1386)),"")</f>
        <v/>
      </c>
      <c r="C1398" s="114" t="str" cm="1">
        <f t="array" ref="C1398">IFERROR(INDEX('03.Muestra'!$F$8:$F$42,SMALL(IF("Página Web"='03.Muestra'!$D$8:$D$42,ROW('03.Muestra'!$F$8:$F$42)-MIN(ROW('03.Muestra'!$D$8:$D$42))+1,""),ROW()-1386)),"")</f>
        <v/>
      </c>
      <c r="D1398" s="130" t="str">
        <f t="shared" si="73"/>
        <v/>
      </c>
      <c r="E1398" s="107" t="str">
        <f t="shared" si="72"/>
        <v/>
      </c>
      <c r="F1398" s="19"/>
      <c r="G1398" s="19"/>
      <c r="H1398" s="19"/>
      <c r="I1398" s="19"/>
      <c r="J1398" s="19"/>
      <c r="K1398" s="233"/>
      <c r="L1398" s="19"/>
    </row>
    <row r="1399" spans="1:12" ht="12" customHeight="1">
      <c r="A1399" s="219" t="str" cm="1">
        <f t="array" ref="A1399">IFERROR(INDEX('03.Muestra'!$B$8:$B$42,SMALL(IF("Página Web"='03.Muestra'!$D$8:$D$42,ROW('03.Muestra'!$B$8:$B$42)-MIN(ROW('03.Muestra'!$D$8:$D$42))+1,""),ROW()-1386)),"")</f>
        <v/>
      </c>
      <c r="B1399" s="114" t="str" cm="1">
        <f t="array" ref="B1399">IFERROR(INDEX('03.Muestra'!$C$8:$C$42,SMALL(IF("Página Web"='03.Muestra'!$D$8:$D$42,ROW('03.Muestra'!$C$8:$C$42)-MIN(ROW('03.Muestra'!$D$8:$D$42))+1,""),ROW()-1386)),"")</f>
        <v/>
      </c>
      <c r="C1399" s="114" t="str" cm="1">
        <f t="array" ref="C1399">IFERROR(INDEX('03.Muestra'!$F$8:$F$42,SMALL(IF("Página Web"='03.Muestra'!$D$8:$D$42,ROW('03.Muestra'!$F$8:$F$42)-MIN(ROW('03.Muestra'!$D$8:$D$42))+1,""),ROW()-1386)),"")</f>
        <v/>
      </c>
      <c r="D1399" s="130" t="str">
        <f t="shared" si="73"/>
        <v/>
      </c>
      <c r="E1399" s="107" t="str">
        <f t="shared" si="72"/>
        <v/>
      </c>
      <c r="F1399" s="19"/>
      <c r="G1399" s="19"/>
      <c r="H1399" s="19"/>
      <c r="I1399" s="19"/>
      <c r="J1399" s="19"/>
      <c r="K1399" s="233"/>
      <c r="L1399" s="19"/>
    </row>
    <row r="1400" spans="1:12" ht="12" customHeight="1">
      <c r="A1400" s="219" t="str" cm="1">
        <f t="array" ref="A1400">IFERROR(INDEX('03.Muestra'!$B$8:$B$42,SMALL(IF("Página Web"='03.Muestra'!$D$8:$D$42,ROW('03.Muestra'!$B$8:$B$42)-MIN(ROW('03.Muestra'!$D$8:$D$42))+1,""),ROW()-1386)),"")</f>
        <v/>
      </c>
      <c r="B1400" s="114" t="str" cm="1">
        <f t="array" ref="B1400">IFERROR(INDEX('03.Muestra'!$C$8:$C$42,SMALL(IF("Página Web"='03.Muestra'!$D$8:$D$42,ROW('03.Muestra'!$C$8:$C$42)-MIN(ROW('03.Muestra'!$D$8:$D$42))+1,""),ROW()-1386)),"")</f>
        <v/>
      </c>
      <c r="C1400" s="114" t="str" cm="1">
        <f t="array" ref="C1400">IFERROR(INDEX('03.Muestra'!$F$8:$F$42,SMALL(IF("Página Web"='03.Muestra'!$D$8:$D$42,ROW('03.Muestra'!$F$8:$F$42)-MIN(ROW('03.Muestra'!$D$8:$D$42))+1,""),ROW()-1386)),"")</f>
        <v/>
      </c>
      <c r="D1400" s="130" t="str">
        <f t="shared" si="73"/>
        <v/>
      </c>
      <c r="E1400" s="107" t="str">
        <f t="shared" si="72"/>
        <v/>
      </c>
      <c r="F1400" s="19"/>
      <c r="G1400" s="19"/>
      <c r="H1400" s="19"/>
      <c r="I1400" s="19"/>
      <c r="J1400" s="19"/>
      <c r="K1400" s="233"/>
      <c r="L1400" s="19"/>
    </row>
    <row r="1401" spans="1:12" ht="12" customHeight="1">
      <c r="A1401" s="219" t="str" cm="1">
        <f t="array" ref="A1401">IFERROR(INDEX('03.Muestra'!$B$8:$B$42,SMALL(IF("Página Web"='03.Muestra'!$D$8:$D$42,ROW('03.Muestra'!$B$8:$B$42)-MIN(ROW('03.Muestra'!$D$8:$D$42))+1,""),ROW()-1386)),"")</f>
        <v/>
      </c>
      <c r="B1401" s="114" t="str" cm="1">
        <f t="array" ref="B1401">IFERROR(INDEX('03.Muestra'!$C$8:$C$42,SMALL(IF("Página Web"='03.Muestra'!$D$8:$D$42,ROW('03.Muestra'!$C$8:$C$42)-MIN(ROW('03.Muestra'!$D$8:$D$42))+1,""),ROW()-1386)),"")</f>
        <v/>
      </c>
      <c r="C1401" s="114" t="str" cm="1">
        <f t="array" ref="C1401">IFERROR(INDEX('03.Muestra'!$F$8:$F$42,SMALL(IF("Página Web"='03.Muestra'!$D$8:$D$42,ROW('03.Muestra'!$F$8:$F$42)-MIN(ROW('03.Muestra'!$D$8:$D$42))+1,""),ROW()-1386)),"")</f>
        <v/>
      </c>
      <c r="D1401" s="130" t="str">
        <f t="shared" si="73"/>
        <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si="73"/>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Servicios e información</v>
      </c>
      <c r="C1426" s="114" t="str" cm="1">
        <f t="array" ref="C1426">IFERROR(INDEX('03.Muestra'!$F$8:$F$42,SMALL(IF("Página Web"='03.Muestra'!$D$8:$D$42,ROW('03.Muestra'!$F$8:$F$42)-MIN(ROW('03.Muestra'!$D$8:$D$42))+1,""),ROW()-1424)),"")</f>
        <v>https://www.comunidad.madrid/servicios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Cultura y turismo</v>
      </c>
      <c r="C1427" s="114" t="str" cm="1">
        <f t="array" ref="C1427">IFERROR(INDEX('03.Muestra'!$F$8:$F$42,SMALL(IF("Página Web"='03.Muestra'!$D$8:$D$42,ROW('03.Muestra'!$F$8:$F$42)-MIN(ROW('03.Muestra'!$D$8:$D$42))+1,""),ROW()-1424)),"")</f>
        <v>https://www.comunidad.madrid/cultura</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Inversión y empresa</v>
      </c>
      <c r="C1428" s="114" t="str" cm="1">
        <f t="array" ref="C1428">IFERROR(INDEX('03.Muestra'!$F$8:$F$42,SMALL(IF("Página Web"='03.Muestra'!$D$8:$D$42,ROW('03.Muestra'!$F$8:$F$42)-MIN(ROW('03.Muestra'!$D$8:$D$42))+1,""),ROW()-1424)),"")</f>
        <v>https://www.comunidad.madrid/inversion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Acción de gobierno</v>
      </c>
      <c r="C1429" s="114" t="str" cm="1">
        <f t="array" ref="C1429">IFERROR(INDEX('03.Muestra'!$F$8:$F$42,SMALL(IF("Página Web"='03.Muestra'!$D$8:$D$42,ROW('03.Muestra'!$F$8:$F$42)-MIN(ROW('03.Muestra'!$D$8:$D$42))+1,""),ROW()-1424)),"")</f>
        <v>https://www.comunidad.madrid/gobierno</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Video</v>
      </c>
      <c r="C1430" s="114" t="str" cm="1">
        <f t="array" ref="C1430">IFERROR(INDEX('03.Muestra'!$F$8:$F$42,SMALL(IF("Página Web"='03.Muestra'!$D$8:$D$42,ROW('03.Muestra'!$F$8:$F$42)-MIN(ROW('03.Muestra'!$D$8:$D$42))+1,""),ROW()-1424)),"")</f>
        <v>https://www.comunidad.madrid/noticias/2023/12/18/diaz-ayuso-reconoce-35-personas-han-realizado-actuaciones-extraordinarias-ayuda-servicio-metro-este-ano-representan-valores-madrid</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Contacto</v>
      </c>
      <c r="C1431" s="114" t="str" cm="1">
        <f t="array" ref="C1431">IFERROR(INDEX('03.Muestra'!$F$8:$F$42,SMALL(IF("Página Web"='03.Muestra'!$D$8:$D$42,ROW('03.Muestra'!$F$8:$F$42)-MIN(ROW('03.Muestra'!$D$8:$D$42))+1,""),ROW()-1424)),"")</f>
        <v>https://www.comunidad.madrid/servicios/atencion-ciudadano</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Aviso Legal</v>
      </c>
      <c r="C1432" s="114" t="str" cm="1">
        <f t="array" ref="C1432">IFERROR(INDEX('03.Muestra'!$F$8:$F$42,SMALL(IF("Página Web"='03.Muestra'!$D$8:$D$42,ROW('03.Muestra'!$F$8:$F$42)-MIN(ROW('03.Muestra'!$D$8:$D$42))+1,""),ROW()-1424)),"")</f>
        <v>https://www.comunidad.madrid/servicios/informacion-atencion-ciudadano/aviso-legal-privacidad</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Mapa web</v>
      </c>
      <c r="C1433" s="114" t="str" cm="1">
        <f t="array" ref="C1433">IFERROR(INDEX('03.Muestra'!$F$8:$F$42,SMALL(IF("Página Web"='03.Muestra'!$D$8:$D$42,ROW('03.Muestra'!$F$8:$F$42)-MIN(ROW('03.Muestra'!$D$8:$D$42))+1,""),ROW()-1424)),"")</f>
        <v>https://www.comunidad.madrid/sitemap</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Accesibilidad</v>
      </c>
      <c r="C1434" s="114" t="str" cm="1">
        <f t="array" ref="C1434">IFERROR(INDEX('03.Muestra'!$F$8:$F$42,SMALL(IF("Página Web"='03.Muestra'!$D$8:$D$42,ROW('03.Muestra'!$F$8:$F$42)-MIN(ROW('03.Muestra'!$D$8:$D$42))+1,""),ROW()-1424)),"")</f>
        <v>https://www.comunidad.madrid/servicios/informacion-atencion-ciudadano/accesibilidad-web</v>
      </c>
      <c r="D1434" s="130" t="s">
        <v>35</v>
      </c>
      <c r="E1434" s="107" t="str">
        <f t="shared" si="74"/>
        <v/>
      </c>
      <c r="F1434" s="19"/>
      <c r="G1434" s="19"/>
      <c r="H1434" s="19"/>
      <c r="I1434" s="19"/>
      <c r="J1434" s="19"/>
      <c r="K1434" s="233"/>
      <c r="L1434" s="19"/>
    </row>
    <row r="1435" spans="1:12" ht="12" customHeight="1">
      <c r="A1435" s="219" t="str" cm="1">
        <f t="array" ref="A1435">IFERROR(INDEX('03.Muestra'!$B$8:$B$42,SMALL(IF("Página Web"='03.Muestra'!$D$8:$D$42,ROW('03.Muestra'!$B$8:$B$42)-MIN(ROW('03.Muestra'!$D$8:$D$42))+1,""),ROW()-1424)),"")</f>
        <v/>
      </c>
      <c r="B1435" s="114" t="str" cm="1">
        <f t="array" ref="B1435">IFERROR(INDEX('03.Muestra'!$C$8:$C$42,SMALL(IF("Página Web"='03.Muestra'!$D$8:$D$42,ROW('03.Muestra'!$C$8:$C$42)-MIN(ROW('03.Muestra'!$D$8:$D$42))+1,""),ROW()-1424)),"")</f>
        <v/>
      </c>
      <c r="C1435" s="114" t="str" cm="1">
        <f t="array" ref="C1435">IFERROR(INDEX('03.Muestra'!$F$8:$F$42,SMALL(IF("Página Web"='03.Muestra'!$D$8:$D$42,ROW('03.Muestra'!$F$8:$F$42)-MIN(ROW('03.Muestra'!$D$8:$D$42))+1,""),ROW()-1424)),"")</f>
        <v/>
      </c>
      <c r="D1435" s="130" t="str">
        <f t="shared" ref="D1435:D1459" si="75">IF(AND(B1435&lt;&gt;"",C1435&lt;&gt;""),"N/T","")</f>
        <v/>
      </c>
      <c r="E1435" s="107" t="str">
        <f t="shared" si="74"/>
        <v/>
      </c>
      <c r="F1435" s="19"/>
      <c r="G1435" s="19"/>
      <c r="H1435" s="19"/>
      <c r="I1435" s="19"/>
      <c r="J1435" s="19"/>
      <c r="K1435" s="233"/>
      <c r="L1435" s="19"/>
    </row>
    <row r="1436" spans="1:12" ht="12" customHeight="1">
      <c r="A1436" s="219" t="str" cm="1">
        <f t="array" ref="A1436">IFERROR(INDEX('03.Muestra'!$B$8:$B$42,SMALL(IF("Página Web"='03.Muestra'!$D$8:$D$42,ROW('03.Muestra'!$B$8:$B$42)-MIN(ROW('03.Muestra'!$D$8:$D$42))+1,""),ROW()-1424)),"")</f>
        <v/>
      </c>
      <c r="B1436" s="114" t="str" cm="1">
        <f t="array" ref="B1436">IFERROR(INDEX('03.Muestra'!$C$8:$C$42,SMALL(IF("Página Web"='03.Muestra'!$D$8:$D$42,ROW('03.Muestra'!$C$8:$C$42)-MIN(ROW('03.Muestra'!$D$8:$D$42))+1,""),ROW()-1424)),"")</f>
        <v/>
      </c>
      <c r="C1436" s="114" t="str" cm="1">
        <f t="array" ref="C1436">IFERROR(INDEX('03.Muestra'!$F$8:$F$42,SMALL(IF("Página Web"='03.Muestra'!$D$8:$D$42,ROW('03.Muestra'!$F$8:$F$42)-MIN(ROW('03.Muestra'!$D$8:$D$42))+1,""),ROW()-1424)),"")</f>
        <v/>
      </c>
      <c r="D1436" s="130" t="str">
        <f t="shared" si="75"/>
        <v/>
      </c>
      <c r="E1436" s="107" t="str">
        <f t="shared" si="74"/>
        <v/>
      </c>
      <c r="F1436" s="19"/>
      <c r="G1436" s="19"/>
      <c r="H1436" s="19"/>
      <c r="I1436" s="19"/>
      <c r="J1436" s="19"/>
      <c r="K1436" s="233"/>
      <c r="L1436" s="19"/>
    </row>
    <row r="1437" spans="1:12" ht="12" customHeight="1">
      <c r="A1437" s="219" t="str" cm="1">
        <f t="array" ref="A1437">IFERROR(INDEX('03.Muestra'!$B$8:$B$42,SMALL(IF("Página Web"='03.Muestra'!$D$8:$D$42,ROW('03.Muestra'!$B$8:$B$42)-MIN(ROW('03.Muestra'!$D$8:$D$42))+1,""),ROW()-1424)),"")</f>
        <v/>
      </c>
      <c r="B1437" s="114" t="str" cm="1">
        <f t="array" ref="B1437">IFERROR(INDEX('03.Muestra'!$C$8:$C$42,SMALL(IF("Página Web"='03.Muestra'!$D$8:$D$42,ROW('03.Muestra'!$C$8:$C$42)-MIN(ROW('03.Muestra'!$D$8:$D$42))+1,""),ROW()-1424)),"")</f>
        <v/>
      </c>
      <c r="C1437" s="114" t="str" cm="1">
        <f t="array" ref="C1437">IFERROR(INDEX('03.Muestra'!$F$8:$F$42,SMALL(IF("Página Web"='03.Muestra'!$D$8:$D$42,ROW('03.Muestra'!$F$8:$F$42)-MIN(ROW('03.Muestra'!$D$8:$D$42))+1,""),ROW()-1424)),"")</f>
        <v/>
      </c>
      <c r="D1437" s="130" t="str">
        <f t="shared" si="75"/>
        <v/>
      </c>
      <c r="E1437" s="107" t="str">
        <f t="shared" si="74"/>
        <v/>
      </c>
      <c r="F1437" s="19"/>
      <c r="G1437" s="19"/>
      <c r="H1437" s="19"/>
      <c r="I1437" s="19"/>
      <c r="J1437" s="19"/>
      <c r="K1437" s="233"/>
      <c r="L1437" s="19"/>
    </row>
    <row r="1438" spans="1:12" ht="12" customHeight="1">
      <c r="A1438" s="219" t="str" cm="1">
        <f t="array" ref="A1438">IFERROR(INDEX('03.Muestra'!$B$8:$B$42,SMALL(IF("Página Web"='03.Muestra'!$D$8:$D$42,ROW('03.Muestra'!$B$8:$B$42)-MIN(ROW('03.Muestra'!$D$8:$D$42))+1,""),ROW()-1424)),"")</f>
        <v/>
      </c>
      <c r="B1438" s="114" t="str" cm="1">
        <f t="array" ref="B1438">IFERROR(INDEX('03.Muestra'!$C$8:$C$42,SMALL(IF("Página Web"='03.Muestra'!$D$8:$D$42,ROW('03.Muestra'!$C$8:$C$42)-MIN(ROW('03.Muestra'!$D$8:$D$42))+1,""),ROW()-1424)),"")</f>
        <v/>
      </c>
      <c r="C1438" s="114" t="str" cm="1">
        <f t="array" ref="C1438">IFERROR(INDEX('03.Muestra'!$F$8:$F$42,SMALL(IF("Página Web"='03.Muestra'!$D$8:$D$42,ROW('03.Muestra'!$F$8:$F$42)-MIN(ROW('03.Muestra'!$D$8:$D$42))+1,""),ROW()-1424)),"")</f>
        <v/>
      </c>
      <c r="D1438" s="130" t="str">
        <f t="shared" si="75"/>
        <v/>
      </c>
      <c r="E1438" s="107" t="str">
        <f t="shared" si="74"/>
        <v/>
      </c>
      <c r="F1438" s="19"/>
      <c r="G1438" s="19"/>
      <c r="H1438" s="19"/>
      <c r="I1438" s="19"/>
      <c r="J1438" s="19"/>
      <c r="K1438" s="233"/>
      <c r="L1438" s="19"/>
    </row>
    <row r="1439" spans="1:12" ht="12" customHeight="1">
      <c r="A1439" s="219" t="str" cm="1">
        <f t="array" ref="A1439">IFERROR(INDEX('03.Muestra'!$B$8:$B$42,SMALL(IF("Página Web"='03.Muestra'!$D$8:$D$42,ROW('03.Muestra'!$B$8:$B$42)-MIN(ROW('03.Muestra'!$D$8:$D$42))+1,""),ROW()-1424)),"")</f>
        <v/>
      </c>
      <c r="B1439" s="114" t="str" cm="1">
        <f t="array" ref="B1439">IFERROR(INDEX('03.Muestra'!$C$8:$C$42,SMALL(IF("Página Web"='03.Muestra'!$D$8:$D$42,ROW('03.Muestra'!$C$8:$C$42)-MIN(ROW('03.Muestra'!$D$8:$D$42))+1,""),ROW()-1424)),"")</f>
        <v/>
      </c>
      <c r="C1439" s="114" t="str" cm="1">
        <f t="array" ref="C1439">IFERROR(INDEX('03.Muestra'!$F$8:$F$42,SMALL(IF("Página Web"='03.Muestra'!$D$8:$D$42,ROW('03.Muestra'!$F$8:$F$42)-MIN(ROW('03.Muestra'!$D$8:$D$42))+1,""),ROW()-1424)),"")</f>
        <v/>
      </c>
      <c r="D1439" s="130" t="str">
        <f t="shared" si="75"/>
        <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si="75"/>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Servicios e información</v>
      </c>
      <c r="C1464" s="114" t="str" cm="1">
        <f t="array" ref="C1464">IFERROR(INDEX('03.Muestra'!$F$8:$F$42,SMALL(IF("Página Web"='03.Muestra'!$D$8:$D$42,ROW('03.Muestra'!$F$8:$F$42)-MIN(ROW('03.Muestra'!$D$8:$D$42))+1,""),ROW()-1462)),"")</f>
        <v>https://www.comunidad.madrid/servicios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10</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Cultura y turismo</v>
      </c>
      <c r="C1465" s="114" t="str" cm="1">
        <f t="array" ref="C1465">IFERROR(INDEX('03.Muestra'!$F$8:$F$42,SMALL(IF("Página Web"='03.Muestra'!$D$8:$D$42,ROW('03.Muestra'!$F$8:$F$42)-MIN(ROW('03.Muestra'!$D$8:$D$42))+1,""),ROW()-1462)),"")</f>
        <v>https://www.comunidad.madrid/cultura</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Inversión y empresa</v>
      </c>
      <c r="C1466" s="114" t="str" cm="1">
        <f t="array" ref="C1466">IFERROR(INDEX('03.Muestra'!$F$8:$F$42,SMALL(IF("Página Web"='03.Muestra'!$D$8:$D$42,ROW('03.Muestra'!$F$8:$F$42)-MIN(ROW('03.Muestra'!$D$8:$D$42))+1,""),ROW()-1462)),"")</f>
        <v>https://www.comunidad.madrid/inversion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Acción de gobierno</v>
      </c>
      <c r="C1467" s="114" t="str" cm="1">
        <f t="array" ref="C1467">IFERROR(INDEX('03.Muestra'!$F$8:$F$42,SMALL(IF("Página Web"='03.Muestra'!$D$8:$D$42,ROW('03.Muestra'!$F$8:$F$42)-MIN(ROW('03.Muestra'!$D$8:$D$42))+1,""),ROW()-1462)),"")</f>
        <v>https://www.comunidad.madrid/gobierno</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Video</v>
      </c>
      <c r="C1468" s="114" t="str" cm="1">
        <f t="array" ref="C1468">IFERROR(INDEX('03.Muestra'!$F$8:$F$42,SMALL(IF("Página Web"='03.Muestra'!$D$8:$D$42,ROW('03.Muestra'!$F$8:$F$42)-MIN(ROW('03.Muestra'!$D$8:$D$42))+1,""),ROW()-1462)),"")</f>
        <v>https://www.comunidad.madrid/noticias/2023/12/18/diaz-ayuso-reconoce-35-personas-han-realizado-actuaciones-extraordinarias-ayuda-servicio-metro-este-ano-representan-valores-madrid</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Contacto</v>
      </c>
      <c r="C1469" s="114" t="str" cm="1">
        <f t="array" ref="C1469">IFERROR(INDEX('03.Muestra'!$F$8:$F$42,SMALL(IF("Página Web"='03.Muestra'!$D$8:$D$42,ROW('03.Muestra'!$F$8:$F$42)-MIN(ROW('03.Muestra'!$D$8:$D$42))+1,""),ROW()-1462)),"")</f>
        <v>https://www.comunidad.madrid/servicios/atencion-ciudadano</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Aviso Legal</v>
      </c>
      <c r="C1470" s="114" t="str" cm="1">
        <f t="array" ref="C1470">IFERROR(INDEX('03.Muestra'!$F$8:$F$42,SMALL(IF("Página Web"='03.Muestra'!$D$8:$D$42,ROW('03.Muestra'!$F$8:$F$42)-MIN(ROW('03.Muestra'!$D$8:$D$42))+1,""),ROW()-1462)),"")</f>
        <v>https://www.comunidad.madrid/servicios/informacion-atencion-ciudadano/aviso-legal-privacidad</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Mapa web</v>
      </c>
      <c r="C1471" s="114" t="str" cm="1">
        <f t="array" ref="C1471">IFERROR(INDEX('03.Muestra'!$F$8:$F$42,SMALL(IF("Página Web"='03.Muestra'!$D$8:$D$42,ROW('03.Muestra'!$F$8:$F$42)-MIN(ROW('03.Muestra'!$D$8:$D$42))+1,""),ROW()-1462)),"")</f>
        <v>https://www.comunidad.madrid/sitemap</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Accesibilidad</v>
      </c>
      <c r="C1472" s="114" t="str" cm="1">
        <f t="array" ref="C1472">IFERROR(INDEX('03.Muestra'!$F$8:$F$42,SMALL(IF("Página Web"='03.Muestra'!$D$8:$D$42,ROW('03.Muestra'!$F$8:$F$42)-MIN(ROW('03.Muestra'!$D$8:$D$42))+1,""),ROW()-1462)),"")</f>
        <v>https://www.comunidad.madrid/servicios/informacion-atencion-ciudadano/accesibilidad-web</v>
      </c>
      <c r="D1472" s="130" t="s">
        <v>26</v>
      </c>
      <c r="E1472" s="107" t="str">
        <f t="shared" si="76"/>
        <v/>
      </c>
      <c r="F1472" s="19"/>
      <c r="G1472" s="19"/>
      <c r="H1472" s="19"/>
      <c r="I1472" s="19"/>
      <c r="J1472" s="19"/>
      <c r="K1472" s="233"/>
      <c r="L1472" s="19"/>
    </row>
    <row r="1473" spans="1:12" ht="12" customHeight="1">
      <c r="A1473" s="219" t="str" cm="1">
        <f t="array" ref="A1473">IFERROR(INDEX('03.Muestra'!$B$8:$B$42,SMALL(IF("Página Web"='03.Muestra'!$D$8:$D$42,ROW('03.Muestra'!$B$8:$B$42)-MIN(ROW('03.Muestra'!$D$8:$D$42))+1,""),ROW()-1462)),"")</f>
        <v/>
      </c>
      <c r="B1473" s="114" t="str" cm="1">
        <f t="array" ref="B1473">IFERROR(INDEX('03.Muestra'!$C$8:$C$42,SMALL(IF("Página Web"='03.Muestra'!$D$8:$D$42,ROW('03.Muestra'!$C$8:$C$42)-MIN(ROW('03.Muestra'!$D$8:$D$42))+1,""),ROW()-1462)),"")</f>
        <v/>
      </c>
      <c r="C1473" s="114" t="str" cm="1">
        <f t="array" ref="C1473">IFERROR(INDEX('03.Muestra'!$F$8:$F$42,SMALL(IF("Página Web"='03.Muestra'!$D$8:$D$42,ROW('03.Muestra'!$F$8:$F$42)-MIN(ROW('03.Muestra'!$D$8:$D$42))+1,""),ROW()-1462)),"")</f>
        <v/>
      </c>
      <c r="D1473" s="130" t="str">
        <f t="shared" ref="D1473:D1497" si="77">IF(AND(B1473&lt;&gt;"",C1473&lt;&gt;""),"N/T","")</f>
        <v/>
      </c>
      <c r="E1473" s="107" t="str">
        <f t="shared" si="76"/>
        <v/>
      </c>
      <c r="F1473" s="19"/>
      <c r="G1473" s="19"/>
      <c r="H1473" s="19"/>
      <c r="I1473" s="19"/>
      <c r="J1473" s="19"/>
      <c r="K1473" s="233"/>
      <c r="L1473" s="19"/>
    </row>
    <row r="1474" spans="1:12" ht="12" customHeight="1">
      <c r="A1474" s="219" t="str" cm="1">
        <f t="array" ref="A1474">IFERROR(INDEX('03.Muestra'!$B$8:$B$42,SMALL(IF("Página Web"='03.Muestra'!$D$8:$D$42,ROW('03.Muestra'!$B$8:$B$42)-MIN(ROW('03.Muestra'!$D$8:$D$42))+1,""),ROW()-1462)),"")</f>
        <v/>
      </c>
      <c r="B1474" s="114" t="str" cm="1">
        <f t="array" ref="B1474">IFERROR(INDEX('03.Muestra'!$C$8:$C$42,SMALL(IF("Página Web"='03.Muestra'!$D$8:$D$42,ROW('03.Muestra'!$C$8:$C$42)-MIN(ROW('03.Muestra'!$D$8:$D$42))+1,""),ROW()-1462)),"")</f>
        <v/>
      </c>
      <c r="C1474" s="114" t="str" cm="1">
        <f t="array" ref="C1474">IFERROR(INDEX('03.Muestra'!$F$8:$F$42,SMALL(IF("Página Web"='03.Muestra'!$D$8:$D$42,ROW('03.Muestra'!$F$8:$F$42)-MIN(ROW('03.Muestra'!$D$8:$D$42))+1,""),ROW()-1462)),"")</f>
        <v/>
      </c>
      <c r="D1474" s="130" t="str">
        <f t="shared" si="77"/>
        <v/>
      </c>
      <c r="E1474" s="107" t="str">
        <f t="shared" si="76"/>
        <v/>
      </c>
      <c r="F1474" s="19"/>
      <c r="G1474" s="19"/>
      <c r="H1474" s="19"/>
      <c r="I1474" s="19"/>
      <c r="J1474" s="19"/>
      <c r="K1474" s="233"/>
      <c r="L1474" s="19"/>
    </row>
    <row r="1475" spans="1:12" ht="12" customHeight="1">
      <c r="A1475" s="219" t="str" cm="1">
        <f t="array" ref="A1475">IFERROR(INDEX('03.Muestra'!$B$8:$B$42,SMALL(IF("Página Web"='03.Muestra'!$D$8:$D$42,ROW('03.Muestra'!$B$8:$B$42)-MIN(ROW('03.Muestra'!$D$8:$D$42))+1,""),ROW()-1462)),"")</f>
        <v/>
      </c>
      <c r="B1475" s="114" t="str" cm="1">
        <f t="array" ref="B1475">IFERROR(INDEX('03.Muestra'!$C$8:$C$42,SMALL(IF("Página Web"='03.Muestra'!$D$8:$D$42,ROW('03.Muestra'!$C$8:$C$42)-MIN(ROW('03.Muestra'!$D$8:$D$42))+1,""),ROW()-1462)),"")</f>
        <v/>
      </c>
      <c r="C1475" s="114" t="str" cm="1">
        <f t="array" ref="C1475">IFERROR(INDEX('03.Muestra'!$F$8:$F$42,SMALL(IF("Página Web"='03.Muestra'!$D$8:$D$42,ROW('03.Muestra'!$F$8:$F$42)-MIN(ROW('03.Muestra'!$D$8:$D$42))+1,""),ROW()-1462)),"")</f>
        <v/>
      </c>
      <c r="D1475" s="130" t="str">
        <f t="shared" si="77"/>
        <v/>
      </c>
      <c r="E1475" s="107" t="str">
        <f t="shared" si="76"/>
        <v/>
      </c>
      <c r="F1475" s="19"/>
      <c r="G1475" s="19"/>
      <c r="H1475" s="19"/>
      <c r="I1475" s="19"/>
      <c r="J1475" s="19"/>
      <c r="K1475" s="233"/>
      <c r="L1475" s="19"/>
    </row>
    <row r="1476" spans="1:12" ht="12" customHeight="1">
      <c r="A1476" s="219" t="str" cm="1">
        <f t="array" ref="A1476">IFERROR(INDEX('03.Muestra'!$B$8:$B$42,SMALL(IF("Página Web"='03.Muestra'!$D$8:$D$42,ROW('03.Muestra'!$B$8:$B$42)-MIN(ROW('03.Muestra'!$D$8:$D$42))+1,""),ROW()-1462)),"")</f>
        <v/>
      </c>
      <c r="B1476" s="114" t="str" cm="1">
        <f t="array" ref="B1476">IFERROR(INDEX('03.Muestra'!$C$8:$C$42,SMALL(IF("Página Web"='03.Muestra'!$D$8:$D$42,ROW('03.Muestra'!$C$8:$C$42)-MIN(ROW('03.Muestra'!$D$8:$D$42))+1,""),ROW()-1462)),"")</f>
        <v/>
      </c>
      <c r="C1476" s="114" t="str" cm="1">
        <f t="array" ref="C1476">IFERROR(INDEX('03.Muestra'!$F$8:$F$42,SMALL(IF("Página Web"='03.Muestra'!$D$8:$D$42,ROW('03.Muestra'!$F$8:$F$42)-MIN(ROW('03.Muestra'!$D$8:$D$42))+1,""),ROW()-1462)),"")</f>
        <v/>
      </c>
      <c r="D1476" s="130" t="str">
        <f t="shared" si="77"/>
        <v/>
      </c>
      <c r="E1476" s="107" t="str">
        <f t="shared" si="76"/>
        <v/>
      </c>
      <c r="F1476" s="19"/>
      <c r="G1476" s="19"/>
      <c r="H1476" s="19"/>
      <c r="I1476" s="19"/>
      <c r="J1476" s="19"/>
      <c r="K1476" s="233"/>
      <c r="L1476" s="19"/>
    </row>
    <row r="1477" spans="1:12" ht="12" customHeight="1">
      <c r="A1477" s="219" t="str" cm="1">
        <f t="array" ref="A1477">IFERROR(INDEX('03.Muestra'!$B$8:$B$42,SMALL(IF("Página Web"='03.Muestra'!$D$8:$D$42,ROW('03.Muestra'!$B$8:$B$42)-MIN(ROW('03.Muestra'!$D$8:$D$42))+1,""),ROW()-1462)),"")</f>
        <v/>
      </c>
      <c r="B1477" s="114" t="str" cm="1">
        <f t="array" ref="B1477">IFERROR(INDEX('03.Muestra'!$C$8:$C$42,SMALL(IF("Página Web"='03.Muestra'!$D$8:$D$42,ROW('03.Muestra'!$C$8:$C$42)-MIN(ROW('03.Muestra'!$D$8:$D$42))+1,""),ROW()-1462)),"")</f>
        <v/>
      </c>
      <c r="C1477" s="114" t="str" cm="1">
        <f t="array" ref="C1477">IFERROR(INDEX('03.Muestra'!$F$8:$F$42,SMALL(IF("Página Web"='03.Muestra'!$D$8:$D$42,ROW('03.Muestra'!$F$8:$F$42)-MIN(ROW('03.Muestra'!$D$8:$D$42))+1,""),ROW()-1462)),"")</f>
        <v/>
      </c>
      <c r="D1477" s="130" t="str">
        <f t="shared" si="77"/>
        <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si="77"/>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v>
      </c>
      <c r="D1501" s="130" t="s">
        <v>26</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Servicios e información</v>
      </c>
      <c r="C1502" s="114" t="str" cm="1">
        <f t="array" ref="C1502">IFERROR(INDEX('03.Muestra'!$F$8:$F$42,SMALL(IF("Página Web"='03.Muestra'!$D$8:$D$42,ROW('03.Muestra'!$F$8:$F$42)-MIN(ROW('03.Muestra'!$D$8:$D$42))+1,""),ROW()-1500)),"")</f>
        <v>https://www.comunidad.madrid/servicios</v>
      </c>
      <c r="D1502" s="130" t="s">
        <v>26</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10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Cultura y turismo</v>
      </c>
      <c r="C1503" s="114" t="str" cm="1">
        <f t="array" ref="C1503">IFERROR(INDEX('03.Muestra'!$F$8:$F$42,SMALL(IF("Página Web"='03.Muestra'!$D$8:$D$42,ROW('03.Muestra'!$F$8:$F$42)-MIN(ROW('03.Muestra'!$D$8:$D$42))+1,""),ROW()-1500)),"")</f>
        <v>https://www.comunidad.madrid/cultura</v>
      </c>
      <c r="D1503" s="130" t="s">
        <v>26</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Inversión y empresa</v>
      </c>
      <c r="C1504" s="114" t="str" cm="1">
        <f t="array" ref="C1504">IFERROR(INDEX('03.Muestra'!$F$8:$F$42,SMALL(IF("Página Web"='03.Muestra'!$D$8:$D$42,ROW('03.Muestra'!$F$8:$F$42)-MIN(ROW('03.Muestra'!$D$8:$D$42))+1,""),ROW()-1500)),"")</f>
        <v>https://www.comunidad.madrid/inversion</v>
      </c>
      <c r="D1504" s="130" t="s">
        <v>26</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Acción de gobierno</v>
      </c>
      <c r="C1505" s="114" t="str" cm="1">
        <f t="array" ref="C1505">IFERROR(INDEX('03.Muestra'!$F$8:$F$42,SMALL(IF("Página Web"='03.Muestra'!$D$8:$D$42,ROW('03.Muestra'!$F$8:$F$42)-MIN(ROW('03.Muestra'!$D$8:$D$42))+1,""),ROW()-1500)),"")</f>
        <v>https://www.comunidad.madrid/gobierno</v>
      </c>
      <c r="D1505" s="130" t="s">
        <v>26</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Video</v>
      </c>
      <c r="C1506" s="114" t="str" cm="1">
        <f t="array" ref="C1506">IFERROR(INDEX('03.Muestra'!$F$8:$F$42,SMALL(IF("Página Web"='03.Muestra'!$D$8:$D$42,ROW('03.Muestra'!$F$8:$F$42)-MIN(ROW('03.Muestra'!$D$8:$D$42))+1,""),ROW()-1500)),"")</f>
        <v>https://www.comunidad.madrid/noticias/2023/12/18/diaz-ayuso-reconoce-35-personas-han-realizado-actuaciones-extraordinarias-ayuda-servicio-metro-este-ano-representan-valores-madrid</v>
      </c>
      <c r="D1506" s="130" t="s">
        <v>26</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Contacto</v>
      </c>
      <c r="C1507" s="114" t="str" cm="1">
        <f t="array" ref="C1507">IFERROR(INDEX('03.Muestra'!$F$8:$F$42,SMALL(IF("Página Web"='03.Muestra'!$D$8:$D$42,ROW('03.Muestra'!$F$8:$F$42)-MIN(ROW('03.Muestra'!$D$8:$D$42))+1,""),ROW()-1500)),"")</f>
        <v>https://www.comunidad.madrid/servicios/atencion-ciudadano</v>
      </c>
      <c r="D1507" s="130" t="s">
        <v>26</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Aviso Legal</v>
      </c>
      <c r="C1508" s="114" t="str" cm="1">
        <f t="array" ref="C1508">IFERROR(INDEX('03.Muestra'!$F$8:$F$42,SMALL(IF("Página Web"='03.Muestra'!$D$8:$D$42,ROW('03.Muestra'!$F$8:$F$42)-MIN(ROW('03.Muestra'!$D$8:$D$42))+1,""),ROW()-1500)),"")</f>
        <v>https://www.comunidad.madrid/servicios/informacion-atencion-ciudadano/aviso-legal-privacidad</v>
      </c>
      <c r="D1508" s="130" t="s">
        <v>26</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Mapa web</v>
      </c>
      <c r="C1509" s="114" t="str" cm="1">
        <f t="array" ref="C1509">IFERROR(INDEX('03.Muestra'!$F$8:$F$42,SMALL(IF("Página Web"='03.Muestra'!$D$8:$D$42,ROW('03.Muestra'!$F$8:$F$42)-MIN(ROW('03.Muestra'!$D$8:$D$42))+1,""),ROW()-1500)),"")</f>
        <v>https://www.comunidad.madrid/sitemap</v>
      </c>
      <c r="D1509" s="130" t="s">
        <v>26</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Accesibilidad</v>
      </c>
      <c r="C1510" s="114" t="str" cm="1">
        <f t="array" ref="C1510">IFERROR(INDEX('03.Muestra'!$F$8:$F$42,SMALL(IF("Página Web"='03.Muestra'!$D$8:$D$42,ROW('03.Muestra'!$F$8:$F$42)-MIN(ROW('03.Muestra'!$D$8:$D$42))+1,""),ROW()-1500)),"")</f>
        <v>https://www.comunidad.madrid/servicios/informacion-atencion-ciudadano/accesibilidad-web</v>
      </c>
      <c r="D1510" s="130" t="s">
        <v>26</v>
      </c>
      <c r="E1510" s="107" t="str">
        <f t="shared" si="78"/>
        <v/>
      </c>
      <c r="F1510" s="19"/>
      <c r="G1510" s="19"/>
      <c r="H1510" s="19"/>
      <c r="I1510" s="19"/>
      <c r="J1510" s="19"/>
      <c r="K1510" s="233"/>
      <c r="L1510" s="19"/>
    </row>
    <row r="1511" spans="1:12" ht="12" customHeight="1">
      <c r="A1511" s="219" t="str" cm="1">
        <f t="array" ref="A1511">IFERROR(INDEX('03.Muestra'!$B$8:$B$42,SMALL(IF("Página Web"='03.Muestra'!$D$8:$D$42,ROW('03.Muestra'!$B$8:$B$42)-MIN(ROW('03.Muestra'!$D$8:$D$42))+1,""),ROW()-1500)),"")</f>
        <v/>
      </c>
      <c r="B1511" s="114" t="str" cm="1">
        <f t="array" ref="B1511">IFERROR(INDEX('03.Muestra'!$C$8:$C$42,SMALL(IF("Página Web"='03.Muestra'!$D$8:$D$42,ROW('03.Muestra'!$C$8:$C$42)-MIN(ROW('03.Muestra'!$D$8:$D$42))+1,""),ROW()-1500)),"")</f>
        <v/>
      </c>
      <c r="C1511" s="114" t="str" cm="1">
        <f t="array" ref="C1511">IFERROR(INDEX('03.Muestra'!$F$8:$F$42,SMALL(IF("Página Web"='03.Muestra'!$D$8:$D$42,ROW('03.Muestra'!$F$8:$F$42)-MIN(ROW('03.Muestra'!$D$8:$D$42))+1,""),ROW()-1500)),"")</f>
        <v/>
      </c>
      <c r="D1511" s="130" t="str">
        <f t="shared" ref="D1511:D1535" si="79">IF(AND(B1511&lt;&gt;"",C1511&lt;&gt;""),"N/T","")</f>
        <v/>
      </c>
      <c r="E1511" s="107" t="str">
        <f t="shared" si="78"/>
        <v/>
      </c>
      <c r="F1511" s="19"/>
      <c r="G1511" s="19"/>
      <c r="H1511" s="19"/>
      <c r="I1511" s="19"/>
      <c r="J1511" s="19"/>
      <c r="K1511" s="233"/>
      <c r="L1511" s="19"/>
    </row>
    <row r="1512" spans="1:12" ht="12" customHeight="1">
      <c r="A1512" s="219" t="str" cm="1">
        <f t="array" ref="A1512">IFERROR(INDEX('03.Muestra'!$B$8:$B$42,SMALL(IF("Página Web"='03.Muestra'!$D$8:$D$42,ROW('03.Muestra'!$B$8:$B$42)-MIN(ROW('03.Muestra'!$D$8:$D$42))+1,""),ROW()-1500)),"")</f>
        <v/>
      </c>
      <c r="B1512" s="114" t="str" cm="1">
        <f t="array" ref="B1512">IFERROR(INDEX('03.Muestra'!$C$8:$C$42,SMALL(IF("Página Web"='03.Muestra'!$D$8:$D$42,ROW('03.Muestra'!$C$8:$C$42)-MIN(ROW('03.Muestra'!$D$8:$D$42))+1,""),ROW()-1500)),"")</f>
        <v/>
      </c>
      <c r="C1512" s="114" t="str" cm="1">
        <f t="array" ref="C1512">IFERROR(INDEX('03.Muestra'!$F$8:$F$42,SMALL(IF("Página Web"='03.Muestra'!$D$8:$D$42,ROW('03.Muestra'!$F$8:$F$42)-MIN(ROW('03.Muestra'!$D$8:$D$42))+1,""),ROW()-1500)),"")</f>
        <v/>
      </c>
      <c r="D1512" s="130" t="str">
        <f t="shared" si="79"/>
        <v/>
      </c>
      <c r="E1512" s="107" t="str">
        <f t="shared" si="78"/>
        <v/>
      </c>
      <c r="F1512" s="19"/>
      <c r="G1512" s="19"/>
      <c r="H1512" s="19"/>
      <c r="I1512" s="19"/>
      <c r="J1512" s="19"/>
      <c r="K1512" s="233"/>
      <c r="L1512" s="19"/>
    </row>
    <row r="1513" spans="1:12" ht="12" customHeight="1">
      <c r="A1513" s="219" t="str" cm="1">
        <f t="array" ref="A1513">IFERROR(INDEX('03.Muestra'!$B$8:$B$42,SMALL(IF("Página Web"='03.Muestra'!$D$8:$D$42,ROW('03.Muestra'!$B$8:$B$42)-MIN(ROW('03.Muestra'!$D$8:$D$42))+1,""),ROW()-1500)),"")</f>
        <v/>
      </c>
      <c r="B1513" s="114" t="str" cm="1">
        <f t="array" ref="B1513">IFERROR(INDEX('03.Muestra'!$C$8:$C$42,SMALL(IF("Página Web"='03.Muestra'!$D$8:$D$42,ROW('03.Muestra'!$C$8:$C$42)-MIN(ROW('03.Muestra'!$D$8:$D$42))+1,""),ROW()-1500)),"")</f>
        <v/>
      </c>
      <c r="C1513" s="114" t="str" cm="1">
        <f t="array" ref="C1513">IFERROR(INDEX('03.Muestra'!$F$8:$F$42,SMALL(IF("Página Web"='03.Muestra'!$D$8:$D$42,ROW('03.Muestra'!$F$8:$F$42)-MIN(ROW('03.Muestra'!$D$8:$D$42))+1,""),ROW()-1500)),"")</f>
        <v/>
      </c>
      <c r="D1513" s="130" t="str">
        <f t="shared" si="79"/>
        <v/>
      </c>
      <c r="E1513" s="107" t="str">
        <f t="shared" si="78"/>
        <v/>
      </c>
      <c r="F1513" s="19"/>
      <c r="G1513" s="19"/>
      <c r="H1513" s="19"/>
      <c r="I1513" s="19"/>
      <c r="J1513" s="19"/>
      <c r="K1513" s="233"/>
      <c r="L1513" s="19"/>
    </row>
    <row r="1514" spans="1:12" ht="12" customHeight="1">
      <c r="A1514" s="219" t="str" cm="1">
        <f t="array" ref="A1514">IFERROR(INDEX('03.Muestra'!$B$8:$B$42,SMALL(IF("Página Web"='03.Muestra'!$D$8:$D$42,ROW('03.Muestra'!$B$8:$B$42)-MIN(ROW('03.Muestra'!$D$8:$D$42))+1,""),ROW()-1500)),"")</f>
        <v/>
      </c>
      <c r="B1514" s="114" t="str" cm="1">
        <f t="array" ref="B1514">IFERROR(INDEX('03.Muestra'!$C$8:$C$42,SMALL(IF("Página Web"='03.Muestra'!$D$8:$D$42,ROW('03.Muestra'!$C$8:$C$42)-MIN(ROW('03.Muestra'!$D$8:$D$42))+1,""),ROW()-1500)),"")</f>
        <v/>
      </c>
      <c r="C1514" s="114" t="str" cm="1">
        <f t="array" ref="C1514">IFERROR(INDEX('03.Muestra'!$F$8:$F$42,SMALL(IF("Página Web"='03.Muestra'!$D$8:$D$42,ROW('03.Muestra'!$F$8:$F$42)-MIN(ROW('03.Muestra'!$D$8:$D$42))+1,""),ROW()-1500)),"")</f>
        <v/>
      </c>
      <c r="D1514" s="130" t="str">
        <f t="shared" si="79"/>
        <v/>
      </c>
      <c r="E1514" s="107" t="str">
        <f t="shared" si="78"/>
        <v/>
      </c>
      <c r="F1514" s="19"/>
      <c r="G1514" s="19"/>
      <c r="H1514" s="19"/>
      <c r="I1514" s="19"/>
      <c r="J1514" s="19"/>
      <c r="K1514" s="233"/>
      <c r="L1514" s="19"/>
    </row>
    <row r="1515" spans="1:12" ht="12" customHeight="1">
      <c r="A1515" s="219" t="str" cm="1">
        <f t="array" ref="A1515">IFERROR(INDEX('03.Muestra'!$B$8:$B$42,SMALL(IF("Página Web"='03.Muestra'!$D$8:$D$42,ROW('03.Muestra'!$B$8:$B$42)-MIN(ROW('03.Muestra'!$D$8:$D$42))+1,""),ROW()-1500)),"")</f>
        <v/>
      </c>
      <c r="B1515" s="114" t="str" cm="1">
        <f t="array" ref="B1515">IFERROR(INDEX('03.Muestra'!$C$8:$C$42,SMALL(IF("Página Web"='03.Muestra'!$D$8:$D$42,ROW('03.Muestra'!$C$8:$C$42)-MIN(ROW('03.Muestra'!$D$8:$D$42))+1,""),ROW()-1500)),"")</f>
        <v/>
      </c>
      <c r="C1515" s="114" t="str" cm="1">
        <f t="array" ref="C1515">IFERROR(INDEX('03.Muestra'!$F$8:$F$42,SMALL(IF("Página Web"='03.Muestra'!$D$8:$D$42,ROW('03.Muestra'!$F$8:$F$42)-MIN(ROW('03.Muestra'!$D$8:$D$42))+1,""),ROW()-1500)),"")</f>
        <v/>
      </c>
      <c r="D1515" s="130" t="str">
        <f t="shared" si="79"/>
        <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si="79"/>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Servicios e información</v>
      </c>
      <c r="C1540" s="114" t="str" cm="1">
        <f t="array" ref="C1540">IFERROR(INDEX('03.Muestra'!$F$8:$F$42,SMALL(IF("Página Web"='03.Muestra'!$D$8:$D$42,ROW('03.Muestra'!$F$8:$F$42)-MIN(ROW('03.Muestra'!$D$8:$D$42))+1,""),ROW()-1538)),"")</f>
        <v>https://www.comunidad.madrid/servicios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10</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Cultura y turismo</v>
      </c>
      <c r="C1541" s="114" t="str" cm="1">
        <f t="array" ref="C1541">IFERROR(INDEX('03.Muestra'!$F$8:$F$42,SMALL(IF("Página Web"='03.Muestra'!$D$8:$D$42,ROW('03.Muestra'!$F$8:$F$42)-MIN(ROW('03.Muestra'!$D$8:$D$42))+1,""),ROW()-1538)),"")</f>
        <v>https://www.comunidad.madrid/cultura</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Inversión y empresa</v>
      </c>
      <c r="C1542" s="114" t="str" cm="1">
        <f t="array" ref="C1542">IFERROR(INDEX('03.Muestra'!$F$8:$F$42,SMALL(IF("Página Web"='03.Muestra'!$D$8:$D$42,ROW('03.Muestra'!$F$8:$F$42)-MIN(ROW('03.Muestra'!$D$8:$D$42))+1,""),ROW()-1538)),"")</f>
        <v>https://www.comunidad.madrid/inversion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Acción de gobierno</v>
      </c>
      <c r="C1543" s="114" t="str" cm="1">
        <f t="array" ref="C1543">IFERROR(INDEX('03.Muestra'!$F$8:$F$42,SMALL(IF("Página Web"='03.Muestra'!$D$8:$D$42,ROW('03.Muestra'!$F$8:$F$42)-MIN(ROW('03.Muestra'!$D$8:$D$42))+1,""),ROW()-1538)),"")</f>
        <v>https://www.comunidad.madrid/gobierno</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Video</v>
      </c>
      <c r="C1544" s="114" t="str" cm="1">
        <f t="array" ref="C1544">IFERROR(INDEX('03.Muestra'!$F$8:$F$42,SMALL(IF("Página Web"='03.Muestra'!$D$8:$D$42,ROW('03.Muestra'!$F$8:$F$42)-MIN(ROW('03.Muestra'!$D$8:$D$42))+1,""),ROW()-1538)),"")</f>
        <v>https://www.comunidad.madrid/noticias/2023/12/18/diaz-ayuso-reconoce-35-personas-han-realizado-actuaciones-extraordinarias-ayuda-servicio-metro-este-ano-representan-valores-madrid</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Contacto</v>
      </c>
      <c r="C1545" s="114" t="str" cm="1">
        <f t="array" ref="C1545">IFERROR(INDEX('03.Muestra'!$F$8:$F$42,SMALL(IF("Página Web"='03.Muestra'!$D$8:$D$42,ROW('03.Muestra'!$F$8:$F$42)-MIN(ROW('03.Muestra'!$D$8:$D$42))+1,""),ROW()-1538)),"")</f>
        <v>https://www.comunidad.madrid/servicios/atencion-ciudadano</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Aviso Legal</v>
      </c>
      <c r="C1546" s="114" t="str" cm="1">
        <f t="array" ref="C1546">IFERROR(INDEX('03.Muestra'!$F$8:$F$42,SMALL(IF("Página Web"='03.Muestra'!$D$8:$D$42,ROW('03.Muestra'!$F$8:$F$42)-MIN(ROW('03.Muestra'!$D$8:$D$42))+1,""),ROW()-1538)),"")</f>
        <v>https://www.comunidad.madrid/servicios/informacion-atencion-ciudadano/aviso-legal-privacidad</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Mapa web</v>
      </c>
      <c r="C1547" s="114" t="str" cm="1">
        <f t="array" ref="C1547">IFERROR(INDEX('03.Muestra'!$F$8:$F$42,SMALL(IF("Página Web"='03.Muestra'!$D$8:$D$42,ROW('03.Muestra'!$F$8:$F$42)-MIN(ROW('03.Muestra'!$D$8:$D$42))+1,""),ROW()-1538)),"")</f>
        <v>https://www.comunidad.madrid/sitemap</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Accesibilidad</v>
      </c>
      <c r="C1548" s="114" t="str" cm="1">
        <f t="array" ref="C1548">IFERROR(INDEX('03.Muestra'!$F$8:$F$42,SMALL(IF("Página Web"='03.Muestra'!$D$8:$D$42,ROW('03.Muestra'!$F$8:$F$42)-MIN(ROW('03.Muestra'!$D$8:$D$42))+1,""),ROW()-1538)),"")</f>
        <v>https://www.comunidad.madrid/servicios/informacion-atencion-ciudadano/accesibilidad-web</v>
      </c>
      <c r="D1548" s="130" t="s">
        <v>26</v>
      </c>
      <c r="E1548" s="107" t="str">
        <f t="shared" si="80"/>
        <v/>
      </c>
      <c r="F1548" s="19"/>
      <c r="G1548" s="19"/>
      <c r="H1548" s="19"/>
      <c r="I1548" s="19"/>
      <c r="J1548" s="19"/>
      <c r="K1548" s="233"/>
    </row>
    <row r="1549" spans="1:12" ht="12" customHeight="1">
      <c r="A1549" s="219" t="str" cm="1">
        <f t="array" ref="A1549">IFERROR(INDEX('03.Muestra'!$B$8:$B$42,SMALL(IF("Página Web"='03.Muestra'!$D$8:$D$42,ROW('03.Muestra'!$B$8:$B$42)-MIN(ROW('03.Muestra'!$D$8:$D$42))+1,""),ROW()-1538)),"")</f>
        <v/>
      </c>
      <c r="B1549" s="114" t="str" cm="1">
        <f t="array" ref="B1549">IFERROR(INDEX('03.Muestra'!$C$8:$C$42,SMALL(IF("Página Web"='03.Muestra'!$D$8:$D$42,ROW('03.Muestra'!$C$8:$C$42)-MIN(ROW('03.Muestra'!$D$8:$D$42))+1,""),ROW()-1538)),"")</f>
        <v/>
      </c>
      <c r="C1549" s="114" t="str" cm="1">
        <f t="array" ref="C1549">IFERROR(INDEX('03.Muestra'!$F$8:$F$42,SMALL(IF("Página Web"='03.Muestra'!$D$8:$D$42,ROW('03.Muestra'!$F$8:$F$42)-MIN(ROW('03.Muestra'!$D$8:$D$42))+1,""),ROW()-1538)),"")</f>
        <v/>
      </c>
      <c r="D1549" s="130" t="str">
        <f t="shared" ref="D1549:D1573" si="81">IF(AND(B1549&lt;&gt;"",C1549&lt;&gt;""),"N/T","")</f>
        <v/>
      </c>
      <c r="E1549" s="107" t="str">
        <f t="shared" si="80"/>
        <v/>
      </c>
      <c r="F1549" s="19"/>
      <c r="G1549" s="19"/>
      <c r="H1549" s="19"/>
      <c r="I1549" s="19"/>
      <c r="J1549" s="19"/>
      <c r="K1549" s="233"/>
    </row>
    <row r="1550" spans="1:12" ht="12" customHeight="1">
      <c r="A1550" s="219" t="str" cm="1">
        <f t="array" ref="A1550">IFERROR(INDEX('03.Muestra'!$B$8:$B$42,SMALL(IF("Página Web"='03.Muestra'!$D$8:$D$42,ROW('03.Muestra'!$B$8:$B$42)-MIN(ROW('03.Muestra'!$D$8:$D$42))+1,""),ROW()-1538)),"")</f>
        <v/>
      </c>
      <c r="B1550" s="114" t="str" cm="1">
        <f t="array" ref="B1550">IFERROR(INDEX('03.Muestra'!$C$8:$C$42,SMALL(IF("Página Web"='03.Muestra'!$D$8:$D$42,ROW('03.Muestra'!$C$8:$C$42)-MIN(ROW('03.Muestra'!$D$8:$D$42))+1,""),ROW()-1538)),"")</f>
        <v/>
      </c>
      <c r="C1550" s="114" t="str" cm="1">
        <f t="array" ref="C1550">IFERROR(INDEX('03.Muestra'!$F$8:$F$42,SMALL(IF("Página Web"='03.Muestra'!$D$8:$D$42,ROW('03.Muestra'!$F$8:$F$42)-MIN(ROW('03.Muestra'!$D$8:$D$42))+1,""),ROW()-1538)),"")</f>
        <v/>
      </c>
      <c r="D1550" s="130" t="str">
        <f t="shared" si="81"/>
        <v/>
      </c>
      <c r="E1550" s="107" t="str">
        <f t="shared" si="80"/>
        <v/>
      </c>
      <c r="F1550" s="19"/>
      <c r="G1550" s="19"/>
      <c r="H1550" s="19"/>
      <c r="I1550" s="19"/>
      <c r="J1550" s="19"/>
      <c r="K1550" s="233"/>
      <c r="L1550" s="19"/>
    </row>
    <row r="1551" spans="1:12" ht="12" customHeight="1">
      <c r="A1551" s="219" t="str" cm="1">
        <f t="array" ref="A1551">IFERROR(INDEX('03.Muestra'!$B$8:$B$42,SMALL(IF("Página Web"='03.Muestra'!$D$8:$D$42,ROW('03.Muestra'!$B$8:$B$42)-MIN(ROW('03.Muestra'!$D$8:$D$42))+1,""),ROW()-1538)),"")</f>
        <v/>
      </c>
      <c r="B1551" s="114" t="str" cm="1">
        <f t="array" ref="B1551">IFERROR(INDEX('03.Muestra'!$C$8:$C$42,SMALL(IF("Página Web"='03.Muestra'!$D$8:$D$42,ROW('03.Muestra'!$C$8:$C$42)-MIN(ROW('03.Muestra'!$D$8:$D$42))+1,""),ROW()-1538)),"")</f>
        <v/>
      </c>
      <c r="C1551" s="114" t="str" cm="1">
        <f t="array" ref="C1551">IFERROR(INDEX('03.Muestra'!$F$8:$F$42,SMALL(IF("Página Web"='03.Muestra'!$D$8:$D$42,ROW('03.Muestra'!$F$8:$F$42)-MIN(ROW('03.Muestra'!$D$8:$D$42))+1,""),ROW()-1538)),"")</f>
        <v/>
      </c>
      <c r="D1551" s="130" t="str">
        <f t="shared" si="81"/>
        <v/>
      </c>
      <c r="E1551" s="107" t="str">
        <f t="shared" si="80"/>
        <v/>
      </c>
      <c r="F1551" s="19"/>
      <c r="G1551" s="19"/>
      <c r="H1551" s="19"/>
      <c r="I1551" s="19"/>
      <c r="J1551" s="19"/>
      <c r="K1551" s="233"/>
      <c r="L1551" s="19"/>
    </row>
    <row r="1552" spans="1:12" ht="12" customHeight="1">
      <c r="A1552" s="219" t="str" cm="1">
        <f t="array" ref="A1552">IFERROR(INDEX('03.Muestra'!$B$8:$B$42,SMALL(IF("Página Web"='03.Muestra'!$D$8:$D$42,ROW('03.Muestra'!$B$8:$B$42)-MIN(ROW('03.Muestra'!$D$8:$D$42))+1,""),ROW()-1538)),"")</f>
        <v/>
      </c>
      <c r="B1552" s="114" t="str" cm="1">
        <f t="array" ref="B1552">IFERROR(INDEX('03.Muestra'!$C$8:$C$42,SMALL(IF("Página Web"='03.Muestra'!$D$8:$D$42,ROW('03.Muestra'!$C$8:$C$42)-MIN(ROW('03.Muestra'!$D$8:$D$42))+1,""),ROW()-1538)),"")</f>
        <v/>
      </c>
      <c r="C1552" s="114" t="str" cm="1">
        <f t="array" ref="C1552">IFERROR(INDEX('03.Muestra'!$F$8:$F$42,SMALL(IF("Página Web"='03.Muestra'!$D$8:$D$42,ROW('03.Muestra'!$F$8:$F$42)-MIN(ROW('03.Muestra'!$D$8:$D$42))+1,""),ROW()-1538)),"")</f>
        <v/>
      </c>
      <c r="D1552" s="130" t="str">
        <f t="shared" si="81"/>
        <v/>
      </c>
      <c r="E1552" s="107" t="str">
        <f t="shared" si="80"/>
        <v/>
      </c>
      <c r="F1552" s="19"/>
      <c r="G1552" s="19"/>
      <c r="H1552" s="19"/>
      <c r="I1552" s="19"/>
      <c r="J1552" s="19"/>
      <c r="K1552" s="233"/>
      <c r="L1552" s="19"/>
    </row>
    <row r="1553" spans="1:12" ht="12" customHeight="1">
      <c r="A1553" s="219" t="str" cm="1">
        <f t="array" ref="A1553">IFERROR(INDEX('03.Muestra'!$B$8:$B$42,SMALL(IF("Página Web"='03.Muestra'!$D$8:$D$42,ROW('03.Muestra'!$B$8:$B$42)-MIN(ROW('03.Muestra'!$D$8:$D$42))+1,""),ROW()-1538)),"")</f>
        <v/>
      </c>
      <c r="B1553" s="114" t="str" cm="1">
        <f t="array" ref="B1553">IFERROR(INDEX('03.Muestra'!$C$8:$C$42,SMALL(IF("Página Web"='03.Muestra'!$D$8:$D$42,ROW('03.Muestra'!$C$8:$C$42)-MIN(ROW('03.Muestra'!$D$8:$D$42))+1,""),ROW()-1538)),"")</f>
        <v/>
      </c>
      <c r="C1553" s="114" t="str" cm="1">
        <f t="array" ref="C1553">IFERROR(INDEX('03.Muestra'!$F$8:$F$42,SMALL(IF("Página Web"='03.Muestra'!$D$8:$D$42,ROW('03.Muestra'!$F$8:$F$42)-MIN(ROW('03.Muestra'!$D$8:$D$42))+1,""),ROW()-1538)),"")</f>
        <v/>
      </c>
      <c r="D1553" s="130" t="str">
        <f t="shared" si="81"/>
        <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si="81"/>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Servicios e información</v>
      </c>
      <c r="C1578" s="114" t="str" cm="1">
        <f t="array" ref="C1578">IFERROR(INDEX('03.Muestra'!$F$8:$F$42,SMALL(IF("Página Web"='03.Muestra'!$D$8:$D$42,ROW('03.Muestra'!$F$8:$F$42)-MIN(ROW('03.Muestra'!$D$8:$D$42))+1,""),ROW()-1576)),"")</f>
        <v>https://www.comunidad.madrid/servicios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10</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Cultura y turismo</v>
      </c>
      <c r="C1579" s="114" t="str" cm="1">
        <f t="array" ref="C1579">IFERROR(INDEX('03.Muestra'!$F$8:$F$42,SMALL(IF("Página Web"='03.Muestra'!$D$8:$D$42,ROW('03.Muestra'!$F$8:$F$42)-MIN(ROW('03.Muestra'!$D$8:$D$42))+1,""),ROW()-1576)),"")</f>
        <v>https://www.comunidad.madrid/cultura</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Inversión y empresa</v>
      </c>
      <c r="C1580" s="114" t="str" cm="1">
        <f t="array" ref="C1580">IFERROR(INDEX('03.Muestra'!$F$8:$F$42,SMALL(IF("Página Web"='03.Muestra'!$D$8:$D$42,ROW('03.Muestra'!$F$8:$F$42)-MIN(ROW('03.Muestra'!$D$8:$D$42))+1,""),ROW()-1576)),"")</f>
        <v>https://www.comunidad.madrid/inversion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Acción de gobierno</v>
      </c>
      <c r="C1581" s="114" t="str" cm="1">
        <f t="array" ref="C1581">IFERROR(INDEX('03.Muestra'!$F$8:$F$42,SMALL(IF("Página Web"='03.Muestra'!$D$8:$D$42,ROW('03.Muestra'!$F$8:$F$42)-MIN(ROW('03.Muestra'!$D$8:$D$42))+1,""),ROW()-1576)),"")</f>
        <v>https://www.comunidad.madrid/gobierno</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Video</v>
      </c>
      <c r="C1582" s="114" t="str" cm="1">
        <f t="array" ref="C1582">IFERROR(INDEX('03.Muestra'!$F$8:$F$42,SMALL(IF("Página Web"='03.Muestra'!$D$8:$D$42,ROW('03.Muestra'!$F$8:$F$42)-MIN(ROW('03.Muestra'!$D$8:$D$42))+1,""),ROW()-1576)),"")</f>
        <v>https://www.comunidad.madrid/noticias/2023/12/18/diaz-ayuso-reconoce-35-personas-han-realizado-actuaciones-extraordinarias-ayuda-servicio-metro-este-ano-representan-valores-madrid</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Contacto</v>
      </c>
      <c r="C1583" s="114" t="str" cm="1">
        <f t="array" ref="C1583">IFERROR(INDEX('03.Muestra'!$F$8:$F$42,SMALL(IF("Página Web"='03.Muestra'!$D$8:$D$42,ROW('03.Muestra'!$F$8:$F$42)-MIN(ROW('03.Muestra'!$D$8:$D$42))+1,""),ROW()-1576)),"")</f>
        <v>https://www.comunidad.madrid/servicios/atencion-ciudadano</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Aviso Legal</v>
      </c>
      <c r="C1584" s="114" t="str" cm="1">
        <f t="array" ref="C1584">IFERROR(INDEX('03.Muestra'!$F$8:$F$42,SMALL(IF("Página Web"='03.Muestra'!$D$8:$D$42,ROW('03.Muestra'!$F$8:$F$42)-MIN(ROW('03.Muestra'!$D$8:$D$42))+1,""),ROW()-1576)),"")</f>
        <v>https://www.comunidad.madrid/servicios/informacion-atencion-ciudadano/aviso-legal-privacidad</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Mapa web</v>
      </c>
      <c r="C1585" s="114" t="str" cm="1">
        <f t="array" ref="C1585">IFERROR(INDEX('03.Muestra'!$F$8:$F$42,SMALL(IF("Página Web"='03.Muestra'!$D$8:$D$42,ROW('03.Muestra'!$F$8:$F$42)-MIN(ROW('03.Muestra'!$D$8:$D$42))+1,""),ROW()-1576)),"")</f>
        <v>https://www.comunidad.madrid/sitemap</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Accesibilidad</v>
      </c>
      <c r="C1586" s="114" t="str" cm="1">
        <f t="array" ref="C1586">IFERROR(INDEX('03.Muestra'!$F$8:$F$42,SMALL(IF("Página Web"='03.Muestra'!$D$8:$D$42,ROW('03.Muestra'!$F$8:$F$42)-MIN(ROW('03.Muestra'!$D$8:$D$42))+1,""),ROW()-1576)),"")</f>
        <v>https://www.comunidad.madrid/servicios/informacion-atencion-ciudadano/accesibilidad-web</v>
      </c>
      <c r="D1586" s="130" t="s">
        <v>26</v>
      </c>
      <c r="E1586" s="107" t="str">
        <f t="shared" si="82"/>
        <v/>
      </c>
      <c r="F1586" s="19"/>
      <c r="G1586" s="19"/>
      <c r="H1586" s="19"/>
      <c r="I1586" s="19"/>
      <c r="J1586" s="19"/>
      <c r="K1586" s="233"/>
      <c r="L1586" s="19"/>
    </row>
    <row r="1587" spans="1:12" ht="12" customHeight="1">
      <c r="A1587" s="219" t="str" cm="1">
        <f t="array" ref="A1587">IFERROR(INDEX('03.Muestra'!$B$8:$B$42,SMALL(IF("Página Web"='03.Muestra'!$D$8:$D$42,ROW('03.Muestra'!$B$8:$B$42)-MIN(ROW('03.Muestra'!$D$8:$D$42))+1,""),ROW()-1576)),"")</f>
        <v/>
      </c>
      <c r="B1587" s="114" t="str" cm="1">
        <f t="array" ref="B1587">IFERROR(INDEX('03.Muestra'!$C$8:$C$42,SMALL(IF("Página Web"='03.Muestra'!$D$8:$D$42,ROW('03.Muestra'!$C$8:$C$42)-MIN(ROW('03.Muestra'!$D$8:$D$42))+1,""),ROW()-1576)),"")</f>
        <v/>
      </c>
      <c r="C1587" s="114" t="str" cm="1">
        <f t="array" ref="C1587">IFERROR(INDEX('03.Muestra'!$F$8:$F$42,SMALL(IF("Página Web"='03.Muestra'!$D$8:$D$42,ROW('03.Muestra'!$F$8:$F$42)-MIN(ROW('03.Muestra'!$D$8:$D$42))+1,""),ROW()-1576)),"")</f>
        <v/>
      </c>
      <c r="D1587" s="130" t="str">
        <f t="shared" ref="D1587:D1611" si="83">IF(AND(B1587&lt;&gt;"",C1587&lt;&gt;""),"N/T","")</f>
        <v/>
      </c>
      <c r="E1587" s="107" t="str">
        <f t="shared" si="82"/>
        <v/>
      </c>
      <c r="F1587" s="19"/>
      <c r="G1587" s="19"/>
      <c r="H1587" s="19"/>
      <c r="I1587" s="19"/>
      <c r="J1587" s="19"/>
      <c r="K1587" s="233"/>
      <c r="L1587" s="19"/>
    </row>
    <row r="1588" spans="1:12" ht="12" customHeight="1">
      <c r="A1588" s="219" t="str" cm="1">
        <f t="array" ref="A1588">IFERROR(INDEX('03.Muestra'!$B$8:$B$42,SMALL(IF("Página Web"='03.Muestra'!$D$8:$D$42,ROW('03.Muestra'!$B$8:$B$42)-MIN(ROW('03.Muestra'!$D$8:$D$42))+1,""),ROW()-1576)),"")</f>
        <v/>
      </c>
      <c r="B1588" s="114" t="str" cm="1">
        <f t="array" ref="B1588">IFERROR(INDEX('03.Muestra'!$C$8:$C$42,SMALL(IF("Página Web"='03.Muestra'!$D$8:$D$42,ROW('03.Muestra'!$C$8:$C$42)-MIN(ROW('03.Muestra'!$D$8:$D$42))+1,""),ROW()-1576)),"")</f>
        <v/>
      </c>
      <c r="C1588" s="114" t="str" cm="1">
        <f t="array" ref="C1588">IFERROR(INDEX('03.Muestra'!$F$8:$F$42,SMALL(IF("Página Web"='03.Muestra'!$D$8:$D$42,ROW('03.Muestra'!$F$8:$F$42)-MIN(ROW('03.Muestra'!$D$8:$D$42))+1,""),ROW()-1576)),"")</f>
        <v/>
      </c>
      <c r="D1588" s="130" t="str">
        <f t="shared" si="83"/>
        <v/>
      </c>
      <c r="E1588" s="107" t="str">
        <f t="shared" si="82"/>
        <v/>
      </c>
      <c r="F1588" s="19"/>
      <c r="G1588" s="19"/>
      <c r="H1588" s="19"/>
      <c r="I1588" s="19"/>
      <c r="J1588" s="19"/>
      <c r="K1588" s="233"/>
      <c r="L1588" s="19"/>
    </row>
    <row r="1589" spans="1:12" ht="12" customHeight="1">
      <c r="A1589" s="219" t="str" cm="1">
        <f t="array" ref="A1589">IFERROR(INDEX('03.Muestra'!$B$8:$B$42,SMALL(IF("Página Web"='03.Muestra'!$D$8:$D$42,ROW('03.Muestra'!$B$8:$B$42)-MIN(ROW('03.Muestra'!$D$8:$D$42))+1,""),ROW()-1576)),"")</f>
        <v/>
      </c>
      <c r="B1589" s="114" t="str" cm="1">
        <f t="array" ref="B1589">IFERROR(INDEX('03.Muestra'!$C$8:$C$42,SMALL(IF("Página Web"='03.Muestra'!$D$8:$D$42,ROW('03.Muestra'!$C$8:$C$42)-MIN(ROW('03.Muestra'!$D$8:$D$42))+1,""),ROW()-1576)),"")</f>
        <v/>
      </c>
      <c r="C1589" s="114" t="str" cm="1">
        <f t="array" ref="C1589">IFERROR(INDEX('03.Muestra'!$F$8:$F$42,SMALL(IF("Página Web"='03.Muestra'!$D$8:$D$42,ROW('03.Muestra'!$F$8:$F$42)-MIN(ROW('03.Muestra'!$D$8:$D$42))+1,""),ROW()-1576)),"")</f>
        <v/>
      </c>
      <c r="D1589" s="130" t="str">
        <f t="shared" si="83"/>
        <v/>
      </c>
      <c r="E1589" s="107" t="str">
        <f t="shared" si="82"/>
        <v/>
      </c>
      <c r="F1589" s="19"/>
      <c r="G1589" s="19"/>
      <c r="H1589" s="19"/>
      <c r="I1589" s="19"/>
      <c r="J1589" s="19"/>
      <c r="K1589" s="233"/>
      <c r="L1589" s="19"/>
    </row>
    <row r="1590" spans="1:12" ht="12" customHeight="1">
      <c r="A1590" s="219" t="str" cm="1">
        <f t="array" ref="A1590">IFERROR(INDEX('03.Muestra'!$B$8:$B$42,SMALL(IF("Página Web"='03.Muestra'!$D$8:$D$42,ROW('03.Muestra'!$B$8:$B$42)-MIN(ROW('03.Muestra'!$D$8:$D$42))+1,""),ROW()-1576)),"")</f>
        <v/>
      </c>
      <c r="B1590" s="114" t="str" cm="1">
        <f t="array" ref="B1590">IFERROR(INDEX('03.Muestra'!$C$8:$C$42,SMALL(IF("Página Web"='03.Muestra'!$D$8:$D$42,ROW('03.Muestra'!$C$8:$C$42)-MIN(ROW('03.Muestra'!$D$8:$D$42))+1,""),ROW()-1576)),"")</f>
        <v/>
      </c>
      <c r="C1590" s="114" t="str" cm="1">
        <f t="array" ref="C1590">IFERROR(INDEX('03.Muestra'!$F$8:$F$42,SMALL(IF("Página Web"='03.Muestra'!$D$8:$D$42,ROW('03.Muestra'!$F$8:$F$42)-MIN(ROW('03.Muestra'!$D$8:$D$42))+1,""),ROW()-1576)),"")</f>
        <v/>
      </c>
      <c r="D1590" s="130" t="str">
        <f t="shared" si="83"/>
        <v/>
      </c>
      <c r="E1590" s="107" t="str">
        <f t="shared" si="82"/>
        <v/>
      </c>
      <c r="F1590" s="19"/>
      <c r="G1590" s="19"/>
      <c r="H1590" s="19"/>
      <c r="I1590" s="19"/>
      <c r="J1590" s="19"/>
      <c r="K1590" s="233"/>
      <c r="L1590" s="19"/>
    </row>
    <row r="1591" spans="1:12" ht="12" customHeight="1">
      <c r="A1591" s="219" t="str" cm="1">
        <f t="array" ref="A1591">IFERROR(INDEX('03.Muestra'!$B$8:$B$42,SMALL(IF("Página Web"='03.Muestra'!$D$8:$D$42,ROW('03.Muestra'!$B$8:$B$42)-MIN(ROW('03.Muestra'!$D$8:$D$42))+1,""),ROW()-1576)),"")</f>
        <v/>
      </c>
      <c r="B1591" s="114" t="str" cm="1">
        <f t="array" ref="B1591">IFERROR(INDEX('03.Muestra'!$C$8:$C$42,SMALL(IF("Página Web"='03.Muestra'!$D$8:$D$42,ROW('03.Muestra'!$C$8:$C$42)-MIN(ROW('03.Muestra'!$D$8:$D$42))+1,""),ROW()-1576)),"")</f>
        <v/>
      </c>
      <c r="C1591" s="114" t="str" cm="1">
        <f t="array" ref="C1591">IFERROR(INDEX('03.Muestra'!$F$8:$F$42,SMALL(IF("Página Web"='03.Muestra'!$D$8:$D$42,ROW('03.Muestra'!$F$8:$F$42)-MIN(ROW('03.Muestra'!$D$8:$D$42))+1,""),ROW()-1576)),"")</f>
        <v/>
      </c>
      <c r="D1591" s="130" t="str">
        <f t="shared" si="83"/>
        <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si="83"/>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Servicios e información</v>
      </c>
      <c r="C1616" s="114" t="str" cm="1">
        <f t="array" ref="C1616">IFERROR(INDEX('03.Muestra'!$F$8:$F$42,SMALL(IF("Página Web"='03.Muestra'!$D$8:$D$42,ROW('03.Muestra'!$F$8:$F$42)-MIN(ROW('03.Muestra'!$D$8:$D$42))+1,""),ROW()-1614)),"")</f>
        <v>https://www.comunidad.madrid/servicios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Cultura y turismo</v>
      </c>
      <c r="C1617" s="114" t="str" cm="1">
        <f t="array" ref="C1617">IFERROR(INDEX('03.Muestra'!$F$8:$F$42,SMALL(IF("Página Web"='03.Muestra'!$D$8:$D$42,ROW('03.Muestra'!$F$8:$F$42)-MIN(ROW('03.Muestra'!$D$8:$D$42))+1,""),ROW()-1614)),"")</f>
        <v>https://www.comunidad.madrid/cultura</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Inversión y empresa</v>
      </c>
      <c r="C1618" s="114" t="str" cm="1">
        <f t="array" ref="C1618">IFERROR(INDEX('03.Muestra'!$F$8:$F$42,SMALL(IF("Página Web"='03.Muestra'!$D$8:$D$42,ROW('03.Muestra'!$F$8:$F$42)-MIN(ROW('03.Muestra'!$D$8:$D$42))+1,""),ROW()-1614)),"")</f>
        <v>https://www.comunidad.madrid/inversion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Acción de gobierno</v>
      </c>
      <c r="C1619" s="114" t="str" cm="1">
        <f t="array" ref="C1619">IFERROR(INDEX('03.Muestra'!$F$8:$F$42,SMALL(IF("Página Web"='03.Muestra'!$D$8:$D$42,ROW('03.Muestra'!$F$8:$F$42)-MIN(ROW('03.Muestra'!$D$8:$D$42))+1,""),ROW()-1614)),"")</f>
        <v>https://www.comunidad.madrid/gobierno</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Video</v>
      </c>
      <c r="C1620" s="114" t="str" cm="1">
        <f t="array" ref="C1620">IFERROR(INDEX('03.Muestra'!$F$8:$F$42,SMALL(IF("Página Web"='03.Muestra'!$D$8:$D$42,ROW('03.Muestra'!$F$8:$F$42)-MIN(ROW('03.Muestra'!$D$8:$D$42))+1,""),ROW()-1614)),"")</f>
        <v>https://www.comunidad.madrid/noticias/2023/12/18/diaz-ayuso-reconoce-35-personas-han-realizado-actuaciones-extraordinarias-ayuda-servicio-metro-este-ano-representan-valores-madrid</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Contacto</v>
      </c>
      <c r="C1621" s="114" t="str" cm="1">
        <f t="array" ref="C1621">IFERROR(INDEX('03.Muestra'!$F$8:$F$42,SMALL(IF("Página Web"='03.Muestra'!$D$8:$D$42,ROW('03.Muestra'!$F$8:$F$42)-MIN(ROW('03.Muestra'!$D$8:$D$42))+1,""),ROW()-1614)),"")</f>
        <v>https://www.comunidad.madrid/servicios/atencion-ciudadano</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Aviso Legal</v>
      </c>
      <c r="C1622" s="114" t="str" cm="1">
        <f t="array" ref="C1622">IFERROR(INDEX('03.Muestra'!$F$8:$F$42,SMALL(IF("Página Web"='03.Muestra'!$D$8:$D$42,ROW('03.Muestra'!$F$8:$F$42)-MIN(ROW('03.Muestra'!$D$8:$D$42))+1,""),ROW()-1614)),"")</f>
        <v>https://www.comunidad.madrid/servicios/informacion-atencion-ciudadano/aviso-legal-privacidad</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Mapa web</v>
      </c>
      <c r="C1623" s="114" t="str" cm="1">
        <f t="array" ref="C1623">IFERROR(INDEX('03.Muestra'!$F$8:$F$42,SMALL(IF("Página Web"='03.Muestra'!$D$8:$D$42,ROW('03.Muestra'!$F$8:$F$42)-MIN(ROW('03.Muestra'!$D$8:$D$42))+1,""),ROW()-1614)),"")</f>
        <v>https://www.comunidad.madrid/sitemap</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Accesibilidad</v>
      </c>
      <c r="C1624" s="114" t="str" cm="1">
        <f t="array" ref="C1624">IFERROR(INDEX('03.Muestra'!$F$8:$F$42,SMALL(IF("Página Web"='03.Muestra'!$D$8:$D$42,ROW('03.Muestra'!$F$8:$F$42)-MIN(ROW('03.Muestra'!$D$8:$D$42))+1,""),ROW()-1614)),"")</f>
        <v>https://www.comunidad.madrid/servicios/informacion-atencion-ciudadano/accesibilidad-web</v>
      </c>
      <c r="D1624" s="130" t="s">
        <v>35</v>
      </c>
      <c r="E1624" s="107" t="str">
        <f t="shared" si="84"/>
        <v/>
      </c>
      <c r="F1624" s="19"/>
      <c r="G1624" s="19"/>
      <c r="H1624" s="19"/>
      <c r="I1624" s="19"/>
      <c r="J1624" s="19"/>
      <c r="K1624" s="233"/>
    </row>
    <row r="1625" spans="1:11" ht="12" customHeight="1">
      <c r="A1625" s="219" t="str" cm="1">
        <f t="array" ref="A1625">IFERROR(INDEX('03.Muestra'!$B$8:$B$42,SMALL(IF("Página Web"='03.Muestra'!$D$8:$D$42,ROW('03.Muestra'!$B$8:$B$42)-MIN(ROW('03.Muestra'!$D$8:$D$42))+1,""),ROW()-1614)),"")</f>
        <v/>
      </c>
      <c r="B1625" s="114" t="str" cm="1">
        <f t="array" ref="B1625">IFERROR(INDEX('03.Muestra'!$C$8:$C$42,SMALL(IF("Página Web"='03.Muestra'!$D$8:$D$42,ROW('03.Muestra'!$C$8:$C$42)-MIN(ROW('03.Muestra'!$D$8:$D$42))+1,""),ROW()-1614)),"")</f>
        <v/>
      </c>
      <c r="C1625" s="114" t="str" cm="1">
        <f t="array" ref="C1625">IFERROR(INDEX('03.Muestra'!$F$8:$F$42,SMALL(IF("Página Web"='03.Muestra'!$D$8:$D$42,ROW('03.Muestra'!$F$8:$F$42)-MIN(ROW('03.Muestra'!$D$8:$D$42))+1,""),ROW()-1614)),"")</f>
        <v/>
      </c>
      <c r="D1625" s="130" t="str">
        <f t="shared" ref="D1625:D1649" si="85">IF(AND(B1625&lt;&gt;"",C1625&lt;&gt;""),"N/T","")</f>
        <v/>
      </c>
      <c r="E1625" s="107" t="str">
        <f t="shared" si="84"/>
        <v/>
      </c>
      <c r="F1625" s="19"/>
      <c r="G1625" s="19"/>
      <c r="H1625" s="19"/>
      <c r="I1625" s="19"/>
      <c r="J1625" s="19"/>
      <c r="K1625" s="233"/>
    </row>
    <row r="1626" spans="1:11" ht="12" customHeight="1">
      <c r="A1626" s="219" t="str" cm="1">
        <f t="array" ref="A1626">IFERROR(INDEX('03.Muestra'!$B$8:$B$42,SMALL(IF("Página Web"='03.Muestra'!$D$8:$D$42,ROW('03.Muestra'!$B$8:$B$42)-MIN(ROW('03.Muestra'!$D$8:$D$42))+1,""),ROW()-1614)),"")</f>
        <v/>
      </c>
      <c r="B1626" s="114" t="str" cm="1">
        <f t="array" ref="B1626">IFERROR(INDEX('03.Muestra'!$C$8:$C$42,SMALL(IF("Página Web"='03.Muestra'!$D$8:$D$42,ROW('03.Muestra'!$C$8:$C$42)-MIN(ROW('03.Muestra'!$D$8:$D$42))+1,""),ROW()-1614)),"")</f>
        <v/>
      </c>
      <c r="C1626" s="114" t="str" cm="1">
        <f t="array" ref="C1626">IFERROR(INDEX('03.Muestra'!$F$8:$F$42,SMALL(IF("Página Web"='03.Muestra'!$D$8:$D$42,ROW('03.Muestra'!$F$8:$F$42)-MIN(ROW('03.Muestra'!$D$8:$D$42))+1,""),ROW()-1614)),"")</f>
        <v/>
      </c>
      <c r="D1626" s="130" t="str">
        <f t="shared" si="85"/>
        <v/>
      </c>
      <c r="E1626" s="107" t="str">
        <f t="shared" si="84"/>
        <v/>
      </c>
      <c r="F1626" s="19"/>
      <c r="G1626" s="19"/>
      <c r="H1626" s="19"/>
      <c r="I1626" s="19"/>
      <c r="J1626" s="19"/>
      <c r="K1626" s="233"/>
    </row>
    <row r="1627" spans="1:11" ht="12" customHeight="1">
      <c r="A1627" s="219" t="str" cm="1">
        <f t="array" ref="A1627">IFERROR(INDEX('03.Muestra'!$B$8:$B$42,SMALL(IF("Página Web"='03.Muestra'!$D$8:$D$42,ROW('03.Muestra'!$B$8:$B$42)-MIN(ROW('03.Muestra'!$D$8:$D$42))+1,""),ROW()-1614)),"")</f>
        <v/>
      </c>
      <c r="B1627" s="114" t="str" cm="1">
        <f t="array" ref="B1627">IFERROR(INDEX('03.Muestra'!$C$8:$C$42,SMALL(IF("Página Web"='03.Muestra'!$D$8:$D$42,ROW('03.Muestra'!$C$8:$C$42)-MIN(ROW('03.Muestra'!$D$8:$D$42))+1,""),ROW()-1614)),"")</f>
        <v/>
      </c>
      <c r="C1627" s="114" t="str" cm="1">
        <f t="array" ref="C1627">IFERROR(INDEX('03.Muestra'!$F$8:$F$42,SMALL(IF("Página Web"='03.Muestra'!$D$8:$D$42,ROW('03.Muestra'!$F$8:$F$42)-MIN(ROW('03.Muestra'!$D$8:$D$42))+1,""),ROW()-1614)),"")</f>
        <v/>
      </c>
      <c r="D1627" s="130" t="str">
        <f t="shared" si="85"/>
        <v/>
      </c>
      <c r="E1627" s="107" t="str">
        <f t="shared" si="84"/>
        <v/>
      </c>
      <c r="F1627" s="19"/>
      <c r="G1627" s="19"/>
      <c r="H1627" s="19"/>
      <c r="I1627" s="19"/>
      <c r="J1627" s="19"/>
      <c r="K1627" s="233"/>
    </row>
    <row r="1628" spans="1:11" ht="12" customHeight="1">
      <c r="A1628" s="219" t="str" cm="1">
        <f t="array" ref="A1628">IFERROR(INDEX('03.Muestra'!$B$8:$B$42,SMALL(IF("Página Web"='03.Muestra'!$D$8:$D$42,ROW('03.Muestra'!$B$8:$B$42)-MIN(ROW('03.Muestra'!$D$8:$D$42))+1,""),ROW()-1614)),"")</f>
        <v/>
      </c>
      <c r="B1628" s="114" t="str" cm="1">
        <f t="array" ref="B1628">IFERROR(INDEX('03.Muestra'!$C$8:$C$42,SMALL(IF("Página Web"='03.Muestra'!$D$8:$D$42,ROW('03.Muestra'!$C$8:$C$42)-MIN(ROW('03.Muestra'!$D$8:$D$42))+1,""),ROW()-1614)),"")</f>
        <v/>
      </c>
      <c r="C1628" s="114" t="str" cm="1">
        <f t="array" ref="C1628">IFERROR(INDEX('03.Muestra'!$F$8:$F$42,SMALL(IF("Página Web"='03.Muestra'!$D$8:$D$42,ROW('03.Muestra'!$F$8:$F$42)-MIN(ROW('03.Muestra'!$D$8:$D$42))+1,""),ROW()-1614)),"")</f>
        <v/>
      </c>
      <c r="D1628" s="130" t="str">
        <f t="shared" si="85"/>
        <v/>
      </c>
      <c r="E1628" s="107" t="str">
        <f t="shared" si="84"/>
        <v/>
      </c>
      <c r="F1628" s="19"/>
      <c r="G1628" s="19"/>
      <c r="H1628" s="19"/>
      <c r="I1628" s="19"/>
      <c r="J1628" s="19"/>
      <c r="K1628" s="233"/>
    </row>
    <row r="1629" spans="1:11" ht="12" customHeight="1">
      <c r="A1629" s="219" t="str" cm="1">
        <f t="array" ref="A1629">IFERROR(INDEX('03.Muestra'!$B$8:$B$42,SMALL(IF("Página Web"='03.Muestra'!$D$8:$D$42,ROW('03.Muestra'!$B$8:$B$42)-MIN(ROW('03.Muestra'!$D$8:$D$42))+1,""),ROW()-1614)),"")</f>
        <v/>
      </c>
      <c r="B1629" s="114" t="str" cm="1">
        <f t="array" ref="B1629">IFERROR(INDEX('03.Muestra'!$C$8:$C$42,SMALL(IF("Página Web"='03.Muestra'!$D$8:$D$42,ROW('03.Muestra'!$C$8:$C$42)-MIN(ROW('03.Muestra'!$D$8:$D$42))+1,""),ROW()-1614)),"")</f>
        <v/>
      </c>
      <c r="C1629" s="114" t="str" cm="1">
        <f t="array" ref="C1629">IFERROR(INDEX('03.Muestra'!$F$8:$F$42,SMALL(IF("Página Web"='03.Muestra'!$D$8:$D$42,ROW('03.Muestra'!$F$8:$F$42)-MIN(ROW('03.Muestra'!$D$8:$D$42))+1,""),ROW()-1614)),"")</f>
        <v/>
      </c>
      <c r="D1629" s="130" t="str">
        <f t="shared" si="85"/>
        <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si="85"/>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v>
      </c>
      <c r="D1653" s="130" t="s">
        <v>35</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Servicios e información</v>
      </c>
      <c r="C1654" s="114" t="str" cm="1">
        <f t="array" ref="C1654">IFERROR(INDEX('03.Muestra'!$F$8:$F$42,SMALL(IF("Página Web"='03.Muestra'!$D$8:$D$42,ROW('03.Muestra'!$F$8:$F$42)-MIN(ROW('03.Muestra'!$D$8:$D$42))+1,""),ROW()-1652)),"")</f>
        <v>https://www.comunidad.madrid/servicios</v>
      </c>
      <c r="D1654" s="130" t="s">
        <v>35</v>
      </c>
      <c r="E1654" s="107" t="str">
        <f t="shared" si="86"/>
        <v/>
      </c>
      <c r="F1654" s="120">
        <f ca="1">COUNTIF($D1653:INDIRECT("$D" &amp;  SUM(ROW()-1,'03.Muestra'!$D$45)-1),F1653)</f>
        <v>0</v>
      </c>
      <c r="G1654" s="120">
        <f ca="1">COUNTIF($D1653:INDIRECT("$D" &amp;  SUM(ROW()-1,'03.Muestra'!$D$45)-1),G1653)</f>
        <v>0</v>
      </c>
      <c r="H1654" s="120">
        <f ca="1">COUNTIF($D1653:INDIRECT("$D" &amp;  SUM(ROW()-1,'03.Muestra'!$D$45)-1),H1653)</f>
        <v>10</v>
      </c>
      <c r="I1654" s="120">
        <f ca="1">COUNTIF($D1653:INDIRECT("$D" &amp;  SUM(ROW()-1,'03.Muestra'!$D$45)-1),I1653)</f>
        <v>0</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Cultura y turismo</v>
      </c>
      <c r="C1655" s="114" t="str" cm="1">
        <f t="array" ref="C1655">IFERROR(INDEX('03.Muestra'!$F$8:$F$42,SMALL(IF("Página Web"='03.Muestra'!$D$8:$D$42,ROW('03.Muestra'!$F$8:$F$42)-MIN(ROW('03.Muestra'!$D$8:$D$42))+1,""),ROW()-1652)),"")</f>
        <v>https://www.comunidad.madrid/cultura</v>
      </c>
      <c r="D1655" s="130" t="s">
        <v>35</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Inversión y empresa</v>
      </c>
      <c r="C1656" s="114" t="str" cm="1">
        <f t="array" ref="C1656">IFERROR(INDEX('03.Muestra'!$F$8:$F$42,SMALL(IF("Página Web"='03.Muestra'!$D$8:$D$42,ROW('03.Muestra'!$F$8:$F$42)-MIN(ROW('03.Muestra'!$D$8:$D$42))+1,""),ROW()-1652)),"")</f>
        <v>https://www.comunidad.madrid/inversion</v>
      </c>
      <c r="D1656" s="130" t="s">
        <v>35</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Acción de gobierno</v>
      </c>
      <c r="C1657" s="114" t="str" cm="1">
        <f t="array" ref="C1657">IFERROR(INDEX('03.Muestra'!$F$8:$F$42,SMALL(IF("Página Web"='03.Muestra'!$D$8:$D$42,ROW('03.Muestra'!$F$8:$F$42)-MIN(ROW('03.Muestra'!$D$8:$D$42))+1,""),ROW()-1652)),"")</f>
        <v>https://www.comunidad.madrid/gobierno</v>
      </c>
      <c r="D1657" s="130" t="s">
        <v>35</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Video</v>
      </c>
      <c r="C1658" s="114" t="str" cm="1">
        <f t="array" ref="C1658">IFERROR(INDEX('03.Muestra'!$F$8:$F$42,SMALL(IF("Página Web"='03.Muestra'!$D$8:$D$42,ROW('03.Muestra'!$F$8:$F$42)-MIN(ROW('03.Muestra'!$D$8:$D$42))+1,""),ROW()-1652)),"")</f>
        <v>https://www.comunidad.madrid/noticias/2023/12/18/diaz-ayuso-reconoce-35-personas-han-realizado-actuaciones-extraordinarias-ayuda-servicio-metro-este-ano-representan-valores-madrid</v>
      </c>
      <c r="D1658" s="130" t="s">
        <v>35</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Contacto</v>
      </c>
      <c r="C1659" s="114" t="str" cm="1">
        <f t="array" ref="C1659">IFERROR(INDEX('03.Muestra'!$F$8:$F$42,SMALL(IF("Página Web"='03.Muestra'!$D$8:$D$42,ROW('03.Muestra'!$F$8:$F$42)-MIN(ROW('03.Muestra'!$D$8:$D$42))+1,""),ROW()-1652)),"")</f>
        <v>https://www.comunidad.madrid/servicios/atencion-ciudadano</v>
      </c>
      <c r="D1659" s="130" t="s">
        <v>35</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Aviso Legal</v>
      </c>
      <c r="C1660" s="114" t="str" cm="1">
        <f t="array" ref="C1660">IFERROR(INDEX('03.Muestra'!$F$8:$F$42,SMALL(IF("Página Web"='03.Muestra'!$D$8:$D$42,ROW('03.Muestra'!$F$8:$F$42)-MIN(ROW('03.Muestra'!$D$8:$D$42))+1,""),ROW()-1652)),"")</f>
        <v>https://www.comunidad.madrid/servicios/informacion-atencion-ciudadano/aviso-legal-privacidad</v>
      </c>
      <c r="D1660" s="130" t="s">
        <v>35</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Mapa web</v>
      </c>
      <c r="C1661" s="114" t="str" cm="1">
        <f t="array" ref="C1661">IFERROR(INDEX('03.Muestra'!$F$8:$F$42,SMALL(IF("Página Web"='03.Muestra'!$D$8:$D$42,ROW('03.Muestra'!$F$8:$F$42)-MIN(ROW('03.Muestra'!$D$8:$D$42))+1,""),ROW()-1652)),"")</f>
        <v>https://www.comunidad.madrid/sitemap</v>
      </c>
      <c r="D1661" s="130" t="s">
        <v>35</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Accesibilidad</v>
      </c>
      <c r="C1662" s="114" t="str" cm="1">
        <f t="array" ref="C1662">IFERROR(INDEX('03.Muestra'!$F$8:$F$42,SMALL(IF("Página Web"='03.Muestra'!$D$8:$D$42,ROW('03.Muestra'!$F$8:$F$42)-MIN(ROW('03.Muestra'!$D$8:$D$42))+1,""),ROW()-1652)),"")</f>
        <v>https://www.comunidad.madrid/servicios/informacion-atencion-ciudadano/accesibilidad-web</v>
      </c>
      <c r="D1662" s="130" t="s">
        <v>35</v>
      </c>
      <c r="E1662" s="107" t="str">
        <f t="shared" si="86"/>
        <v/>
      </c>
      <c r="F1662" s="19"/>
      <c r="G1662" s="19"/>
      <c r="H1662" s="19"/>
      <c r="I1662" s="19"/>
      <c r="J1662" s="19"/>
      <c r="K1662" s="233"/>
    </row>
    <row r="1663" spans="1:11" ht="12" customHeight="1">
      <c r="A1663" s="219" t="str" cm="1">
        <f t="array" ref="A1663">IFERROR(INDEX('03.Muestra'!$B$8:$B$42,SMALL(IF("Página Web"='03.Muestra'!$D$8:$D$42,ROW('03.Muestra'!$B$8:$B$42)-MIN(ROW('03.Muestra'!$D$8:$D$42))+1,""),ROW()-1652)),"")</f>
        <v/>
      </c>
      <c r="B1663" s="114" t="str" cm="1">
        <f t="array" ref="B1663">IFERROR(INDEX('03.Muestra'!$C$8:$C$42,SMALL(IF("Página Web"='03.Muestra'!$D$8:$D$42,ROW('03.Muestra'!$C$8:$C$42)-MIN(ROW('03.Muestra'!$D$8:$D$42))+1,""),ROW()-1652)),"")</f>
        <v/>
      </c>
      <c r="C1663" s="114" t="str" cm="1">
        <f t="array" ref="C1663">IFERROR(INDEX('03.Muestra'!$F$8:$F$42,SMALL(IF("Página Web"='03.Muestra'!$D$8:$D$42,ROW('03.Muestra'!$F$8:$F$42)-MIN(ROW('03.Muestra'!$D$8:$D$42))+1,""),ROW()-1652)),"")</f>
        <v/>
      </c>
      <c r="D1663" s="130" t="str">
        <f t="shared" ref="D1663:D1687" si="87">IF(AND(B1663&lt;&gt;"",C1663&lt;&gt;""),"N/T","")</f>
        <v/>
      </c>
      <c r="E1663" s="107" t="str">
        <f t="shared" si="86"/>
        <v/>
      </c>
      <c r="F1663" s="19"/>
      <c r="G1663" s="19"/>
      <c r="H1663" s="19"/>
      <c r="I1663" s="19"/>
      <c r="J1663" s="19"/>
      <c r="K1663" s="233"/>
    </row>
    <row r="1664" spans="1:11" ht="12" customHeight="1">
      <c r="A1664" s="219" t="str" cm="1">
        <f t="array" ref="A1664">IFERROR(INDEX('03.Muestra'!$B$8:$B$42,SMALL(IF("Página Web"='03.Muestra'!$D$8:$D$42,ROW('03.Muestra'!$B$8:$B$42)-MIN(ROW('03.Muestra'!$D$8:$D$42))+1,""),ROW()-1652)),"")</f>
        <v/>
      </c>
      <c r="B1664" s="114" t="str" cm="1">
        <f t="array" ref="B1664">IFERROR(INDEX('03.Muestra'!$C$8:$C$42,SMALL(IF("Página Web"='03.Muestra'!$D$8:$D$42,ROW('03.Muestra'!$C$8:$C$42)-MIN(ROW('03.Muestra'!$D$8:$D$42))+1,""),ROW()-1652)),"")</f>
        <v/>
      </c>
      <c r="C1664" s="114" t="str" cm="1">
        <f t="array" ref="C1664">IFERROR(INDEX('03.Muestra'!$F$8:$F$42,SMALL(IF("Página Web"='03.Muestra'!$D$8:$D$42,ROW('03.Muestra'!$F$8:$F$42)-MIN(ROW('03.Muestra'!$D$8:$D$42))+1,""),ROW()-1652)),"")</f>
        <v/>
      </c>
      <c r="D1664" s="130" t="str">
        <f t="shared" si="87"/>
        <v/>
      </c>
      <c r="E1664" s="107" t="str">
        <f t="shared" si="86"/>
        <v/>
      </c>
      <c r="F1664" s="19"/>
      <c r="G1664" s="19"/>
      <c r="H1664" s="19"/>
      <c r="I1664" s="19"/>
      <c r="J1664" s="19"/>
      <c r="K1664" s="233"/>
    </row>
    <row r="1665" spans="1:11" ht="12" customHeight="1">
      <c r="A1665" s="219" t="str" cm="1">
        <f t="array" ref="A1665">IFERROR(INDEX('03.Muestra'!$B$8:$B$42,SMALL(IF("Página Web"='03.Muestra'!$D$8:$D$42,ROW('03.Muestra'!$B$8:$B$42)-MIN(ROW('03.Muestra'!$D$8:$D$42))+1,""),ROW()-1652)),"")</f>
        <v/>
      </c>
      <c r="B1665" s="114" t="str" cm="1">
        <f t="array" ref="B1665">IFERROR(INDEX('03.Muestra'!$C$8:$C$42,SMALL(IF("Página Web"='03.Muestra'!$D$8:$D$42,ROW('03.Muestra'!$C$8:$C$42)-MIN(ROW('03.Muestra'!$D$8:$D$42))+1,""),ROW()-1652)),"")</f>
        <v/>
      </c>
      <c r="C1665" s="114" t="str" cm="1">
        <f t="array" ref="C1665">IFERROR(INDEX('03.Muestra'!$F$8:$F$42,SMALL(IF("Página Web"='03.Muestra'!$D$8:$D$42,ROW('03.Muestra'!$F$8:$F$42)-MIN(ROW('03.Muestra'!$D$8:$D$42))+1,""),ROW()-1652)),"")</f>
        <v/>
      </c>
      <c r="D1665" s="130" t="str">
        <f t="shared" si="87"/>
        <v/>
      </c>
      <c r="E1665" s="107" t="str">
        <f t="shared" si="86"/>
        <v/>
      </c>
      <c r="F1665" s="19"/>
      <c r="G1665" s="19"/>
      <c r="H1665" s="19"/>
      <c r="I1665" s="19"/>
      <c r="J1665" s="19"/>
      <c r="K1665" s="233"/>
    </row>
    <row r="1666" spans="1:11" ht="12" customHeight="1">
      <c r="A1666" s="219" t="str" cm="1">
        <f t="array" ref="A1666">IFERROR(INDEX('03.Muestra'!$B$8:$B$42,SMALL(IF("Página Web"='03.Muestra'!$D$8:$D$42,ROW('03.Muestra'!$B$8:$B$42)-MIN(ROW('03.Muestra'!$D$8:$D$42))+1,""),ROW()-1652)),"")</f>
        <v/>
      </c>
      <c r="B1666" s="114" t="str" cm="1">
        <f t="array" ref="B1666">IFERROR(INDEX('03.Muestra'!$C$8:$C$42,SMALL(IF("Página Web"='03.Muestra'!$D$8:$D$42,ROW('03.Muestra'!$C$8:$C$42)-MIN(ROW('03.Muestra'!$D$8:$D$42))+1,""),ROW()-1652)),"")</f>
        <v/>
      </c>
      <c r="C1666" s="114" t="str" cm="1">
        <f t="array" ref="C1666">IFERROR(INDEX('03.Muestra'!$F$8:$F$42,SMALL(IF("Página Web"='03.Muestra'!$D$8:$D$42,ROW('03.Muestra'!$F$8:$F$42)-MIN(ROW('03.Muestra'!$D$8:$D$42))+1,""),ROW()-1652)),"")</f>
        <v/>
      </c>
      <c r="D1666" s="130" t="str">
        <f t="shared" si="87"/>
        <v/>
      </c>
      <c r="E1666" s="107" t="str">
        <f t="shared" si="86"/>
        <v/>
      </c>
      <c r="F1666" s="19"/>
      <c r="G1666" s="19"/>
      <c r="H1666" s="19"/>
      <c r="I1666" s="19"/>
      <c r="J1666" s="19"/>
      <c r="K1666" s="233"/>
    </row>
    <row r="1667" spans="1:11" ht="12" customHeight="1">
      <c r="A1667" s="219" t="str" cm="1">
        <f t="array" ref="A1667">IFERROR(INDEX('03.Muestra'!$B$8:$B$42,SMALL(IF("Página Web"='03.Muestra'!$D$8:$D$42,ROW('03.Muestra'!$B$8:$B$42)-MIN(ROW('03.Muestra'!$D$8:$D$42))+1,""),ROW()-1652)),"")</f>
        <v/>
      </c>
      <c r="B1667" s="114" t="str" cm="1">
        <f t="array" ref="B1667">IFERROR(INDEX('03.Muestra'!$C$8:$C$42,SMALL(IF("Página Web"='03.Muestra'!$D$8:$D$42,ROW('03.Muestra'!$C$8:$C$42)-MIN(ROW('03.Muestra'!$D$8:$D$42))+1,""),ROW()-1652)),"")</f>
        <v/>
      </c>
      <c r="C1667" s="114" t="str" cm="1">
        <f t="array" ref="C1667">IFERROR(INDEX('03.Muestra'!$F$8:$F$42,SMALL(IF("Página Web"='03.Muestra'!$D$8:$D$42,ROW('03.Muestra'!$F$8:$F$42)-MIN(ROW('03.Muestra'!$D$8:$D$42))+1,""),ROW()-1652)),"")</f>
        <v/>
      </c>
      <c r="D1667" s="130" t="str">
        <f t="shared" si="87"/>
        <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si="87"/>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Servicios e información</v>
      </c>
      <c r="C1692" s="114" t="str" cm="1">
        <f t="array" ref="C1692">IFERROR(INDEX('03.Muestra'!$F$8:$F$42,SMALL(IF("Página Web"='03.Muestra'!$D$8:$D$42,ROW('03.Muestra'!$F$8:$F$42)-MIN(ROW('03.Muestra'!$D$8:$D$42))+1,""),ROW()-1690)),"")</f>
        <v>https://www.comunidad.madrid/servicios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Cultura y turismo</v>
      </c>
      <c r="C1693" s="114" t="str" cm="1">
        <f t="array" ref="C1693">IFERROR(INDEX('03.Muestra'!$F$8:$F$42,SMALL(IF("Página Web"='03.Muestra'!$D$8:$D$42,ROW('03.Muestra'!$F$8:$F$42)-MIN(ROW('03.Muestra'!$D$8:$D$42))+1,""),ROW()-1690)),"")</f>
        <v>https://www.comunidad.madrid/cultura</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Inversión y empresa</v>
      </c>
      <c r="C1694" s="114" t="str" cm="1">
        <f t="array" ref="C1694">IFERROR(INDEX('03.Muestra'!$F$8:$F$42,SMALL(IF("Página Web"='03.Muestra'!$D$8:$D$42,ROW('03.Muestra'!$F$8:$F$42)-MIN(ROW('03.Muestra'!$D$8:$D$42))+1,""),ROW()-1690)),"")</f>
        <v>https://www.comunidad.madrid/inversion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Acción de gobierno</v>
      </c>
      <c r="C1695" s="114" t="str" cm="1">
        <f t="array" ref="C1695">IFERROR(INDEX('03.Muestra'!$F$8:$F$42,SMALL(IF("Página Web"='03.Muestra'!$D$8:$D$42,ROW('03.Muestra'!$F$8:$F$42)-MIN(ROW('03.Muestra'!$D$8:$D$42))+1,""),ROW()-1690)),"")</f>
        <v>https://www.comunidad.madrid/gobierno</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Video</v>
      </c>
      <c r="C1696" s="114" t="str" cm="1">
        <f t="array" ref="C1696">IFERROR(INDEX('03.Muestra'!$F$8:$F$42,SMALL(IF("Página Web"='03.Muestra'!$D$8:$D$42,ROW('03.Muestra'!$F$8:$F$42)-MIN(ROW('03.Muestra'!$D$8:$D$42))+1,""),ROW()-1690)),"")</f>
        <v>https://www.comunidad.madrid/noticias/2023/12/18/diaz-ayuso-reconoce-35-personas-han-realizado-actuaciones-extraordinarias-ayuda-servicio-metro-este-ano-representan-valores-madrid</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Contacto</v>
      </c>
      <c r="C1697" s="114" t="str" cm="1">
        <f t="array" ref="C1697">IFERROR(INDEX('03.Muestra'!$F$8:$F$42,SMALL(IF("Página Web"='03.Muestra'!$D$8:$D$42,ROW('03.Muestra'!$F$8:$F$42)-MIN(ROW('03.Muestra'!$D$8:$D$42))+1,""),ROW()-1690)),"")</f>
        <v>https://www.comunidad.madrid/servicios/atencion-ciudadano</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Aviso Legal</v>
      </c>
      <c r="C1698" s="114" t="str" cm="1">
        <f t="array" ref="C1698">IFERROR(INDEX('03.Muestra'!$F$8:$F$42,SMALL(IF("Página Web"='03.Muestra'!$D$8:$D$42,ROW('03.Muestra'!$F$8:$F$42)-MIN(ROW('03.Muestra'!$D$8:$D$42))+1,""),ROW()-1690)),"")</f>
        <v>https://www.comunidad.madrid/servicios/informacion-atencion-ciudadano/aviso-legal-privacidad</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Mapa web</v>
      </c>
      <c r="C1699" s="114" t="str" cm="1">
        <f t="array" ref="C1699">IFERROR(INDEX('03.Muestra'!$F$8:$F$42,SMALL(IF("Página Web"='03.Muestra'!$D$8:$D$42,ROW('03.Muestra'!$F$8:$F$42)-MIN(ROW('03.Muestra'!$D$8:$D$42))+1,""),ROW()-1690)),"")</f>
        <v>https://www.comunidad.madrid/sitemap</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Accesibilidad</v>
      </c>
      <c r="C1700" s="114" t="str" cm="1">
        <f t="array" ref="C1700">IFERROR(INDEX('03.Muestra'!$F$8:$F$42,SMALL(IF("Página Web"='03.Muestra'!$D$8:$D$42,ROW('03.Muestra'!$F$8:$F$42)-MIN(ROW('03.Muestra'!$D$8:$D$42))+1,""),ROW()-1690)),"")</f>
        <v>https://www.comunidad.madrid/servicios/informacion-atencion-ciudadano/accesibilidad-web</v>
      </c>
      <c r="D1700" s="130" t="s">
        <v>35</v>
      </c>
      <c r="E1700" s="107" t="str">
        <f t="shared" si="88"/>
        <v/>
      </c>
      <c r="F1700" s="19"/>
      <c r="G1700" s="19"/>
      <c r="H1700" s="19"/>
      <c r="I1700" s="19"/>
      <c r="J1700" s="19"/>
      <c r="K1700" s="233"/>
    </row>
    <row r="1701" spans="1:11" ht="12" customHeight="1">
      <c r="A1701" s="219" t="str" cm="1">
        <f t="array" ref="A1701">IFERROR(INDEX('03.Muestra'!$B$8:$B$42,SMALL(IF("Página Web"='03.Muestra'!$D$8:$D$42,ROW('03.Muestra'!$B$8:$B$42)-MIN(ROW('03.Muestra'!$D$8:$D$42))+1,""),ROW()-1690)),"")</f>
        <v/>
      </c>
      <c r="B1701" s="114" t="str" cm="1">
        <f t="array" ref="B1701">IFERROR(INDEX('03.Muestra'!$C$8:$C$42,SMALL(IF("Página Web"='03.Muestra'!$D$8:$D$42,ROW('03.Muestra'!$C$8:$C$42)-MIN(ROW('03.Muestra'!$D$8:$D$42))+1,""),ROW()-1690)),"")</f>
        <v/>
      </c>
      <c r="C1701" s="114" t="str" cm="1">
        <f t="array" ref="C1701">IFERROR(INDEX('03.Muestra'!$F$8:$F$42,SMALL(IF("Página Web"='03.Muestra'!$D$8:$D$42,ROW('03.Muestra'!$F$8:$F$42)-MIN(ROW('03.Muestra'!$D$8:$D$42))+1,""),ROW()-1690)),"")</f>
        <v/>
      </c>
      <c r="D1701" s="130" t="str">
        <f t="shared" ref="D1701:D1725" si="89">IF(AND(B1701&lt;&gt;"",C1701&lt;&gt;""),"N/T","")</f>
        <v/>
      </c>
      <c r="E1701" s="107" t="str">
        <f t="shared" si="88"/>
        <v/>
      </c>
      <c r="F1701" s="19"/>
      <c r="G1701" s="19"/>
      <c r="H1701" s="19"/>
      <c r="I1701" s="19"/>
      <c r="J1701" s="19"/>
      <c r="K1701" s="233"/>
    </row>
    <row r="1702" spans="1:11" ht="12" customHeight="1">
      <c r="A1702" s="219" t="str" cm="1">
        <f t="array" ref="A1702">IFERROR(INDEX('03.Muestra'!$B$8:$B$42,SMALL(IF("Página Web"='03.Muestra'!$D$8:$D$42,ROW('03.Muestra'!$B$8:$B$42)-MIN(ROW('03.Muestra'!$D$8:$D$42))+1,""),ROW()-1690)),"")</f>
        <v/>
      </c>
      <c r="B1702" s="114" t="str" cm="1">
        <f t="array" ref="B1702">IFERROR(INDEX('03.Muestra'!$C$8:$C$42,SMALL(IF("Página Web"='03.Muestra'!$D$8:$D$42,ROW('03.Muestra'!$C$8:$C$42)-MIN(ROW('03.Muestra'!$D$8:$D$42))+1,""),ROW()-1690)),"")</f>
        <v/>
      </c>
      <c r="C1702" s="114" t="str" cm="1">
        <f t="array" ref="C1702">IFERROR(INDEX('03.Muestra'!$F$8:$F$42,SMALL(IF("Página Web"='03.Muestra'!$D$8:$D$42,ROW('03.Muestra'!$F$8:$F$42)-MIN(ROW('03.Muestra'!$D$8:$D$42))+1,""),ROW()-1690)),"")</f>
        <v/>
      </c>
      <c r="D1702" s="130" t="str">
        <f t="shared" si="89"/>
        <v/>
      </c>
      <c r="E1702" s="107" t="str">
        <f t="shared" si="88"/>
        <v/>
      </c>
      <c r="F1702" s="19"/>
      <c r="G1702" s="19"/>
      <c r="H1702" s="19"/>
      <c r="I1702" s="19"/>
      <c r="J1702" s="19"/>
      <c r="K1702" s="233"/>
    </row>
    <row r="1703" spans="1:11" ht="12" customHeight="1">
      <c r="A1703" s="219" t="str" cm="1">
        <f t="array" ref="A1703">IFERROR(INDEX('03.Muestra'!$B$8:$B$42,SMALL(IF("Página Web"='03.Muestra'!$D$8:$D$42,ROW('03.Muestra'!$B$8:$B$42)-MIN(ROW('03.Muestra'!$D$8:$D$42))+1,""),ROW()-1690)),"")</f>
        <v/>
      </c>
      <c r="B1703" s="114" t="str" cm="1">
        <f t="array" ref="B1703">IFERROR(INDEX('03.Muestra'!$C$8:$C$42,SMALL(IF("Página Web"='03.Muestra'!$D$8:$D$42,ROW('03.Muestra'!$C$8:$C$42)-MIN(ROW('03.Muestra'!$D$8:$D$42))+1,""),ROW()-1690)),"")</f>
        <v/>
      </c>
      <c r="C1703" s="114" t="str" cm="1">
        <f t="array" ref="C1703">IFERROR(INDEX('03.Muestra'!$F$8:$F$42,SMALL(IF("Página Web"='03.Muestra'!$D$8:$D$42,ROW('03.Muestra'!$F$8:$F$42)-MIN(ROW('03.Muestra'!$D$8:$D$42))+1,""),ROW()-1690)),"")</f>
        <v/>
      </c>
      <c r="D1703" s="130" t="str">
        <f t="shared" si="89"/>
        <v/>
      </c>
      <c r="E1703" s="107" t="str">
        <f t="shared" si="88"/>
        <v/>
      </c>
      <c r="F1703" s="19"/>
      <c r="G1703" s="19"/>
      <c r="H1703" s="19"/>
      <c r="I1703" s="19"/>
      <c r="J1703" s="19"/>
      <c r="K1703" s="233"/>
    </row>
    <row r="1704" spans="1:11" ht="12" customHeight="1">
      <c r="A1704" s="219" t="str" cm="1">
        <f t="array" ref="A1704">IFERROR(INDEX('03.Muestra'!$B$8:$B$42,SMALL(IF("Página Web"='03.Muestra'!$D$8:$D$42,ROW('03.Muestra'!$B$8:$B$42)-MIN(ROW('03.Muestra'!$D$8:$D$42))+1,""),ROW()-1690)),"")</f>
        <v/>
      </c>
      <c r="B1704" s="114" t="str" cm="1">
        <f t="array" ref="B1704">IFERROR(INDEX('03.Muestra'!$C$8:$C$42,SMALL(IF("Página Web"='03.Muestra'!$D$8:$D$42,ROW('03.Muestra'!$C$8:$C$42)-MIN(ROW('03.Muestra'!$D$8:$D$42))+1,""),ROW()-1690)),"")</f>
        <v/>
      </c>
      <c r="C1704" s="114" t="str" cm="1">
        <f t="array" ref="C1704">IFERROR(INDEX('03.Muestra'!$F$8:$F$42,SMALL(IF("Página Web"='03.Muestra'!$D$8:$D$42,ROW('03.Muestra'!$F$8:$F$42)-MIN(ROW('03.Muestra'!$D$8:$D$42))+1,""),ROW()-1690)),"")</f>
        <v/>
      </c>
      <c r="D1704" s="130" t="str">
        <f t="shared" si="89"/>
        <v/>
      </c>
      <c r="E1704" s="107" t="str">
        <f t="shared" si="88"/>
        <v/>
      </c>
      <c r="F1704" s="19"/>
      <c r="G1704" s="19"/>
      <c r="H1704" s="19"/>
      <c r="I1704" s="19"/>
      <c r="J1704" s="19"/>
      <c r="K1704" s="233"/>
    </row>
    <row r="1705" spans="1:11" ht="12" customHeight="1">
      <c r="A1705" s="219" t="str" cm="1">
        <f t="array" ref="A1705">IFERROR(INDEX('03.Muestra'!$B$8:$B$42,SMALL(IF("Página Web"='03.Muestra'!$D$8:$D$42,ROW('03.Muestra'!$B$8:$B$42)-MIN(ROW('03.Muestra'!$D$8:$D$42))+1,""),ROW()-1690)),"")</f>
        <v/>
      </c>
      <c r="B1705" s="114" t="str" cm="1">
        <f t="array" ref="B1705">IFERROR(INDEX('03.Muestra'!$C$8:$C$42,SMALL(IF("Página Web"='03.Muestra'!$D$8:$D$42,ROW('03.Muestra'!$C$8:$C$42)-MIN(ROW('03.Muestra'!$D$8:$D$42))+1,""),ROW()-1690)),"")</f>
        <v/>
      </c>
      <c r="C1705" s="114" t="str" cm="1">
        <f t="array" ref="C1705">IFERROR(INDEX('03.Muestra'!$F$8:$F$42,SMALL(IF("Página Web"='03.Muestra'!$D$8:$D$42,ROW('03.Muestra'!$F$8:$F$42)-MIN(ROW('03.Muestra'!$D$8:$D$42))+1,""),ROW()-1690)),"")</f>
        <v/>
      </c>
      <c r="D1705" s="130" t="str">
        <f t="shared" si="89"/>
        <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si="89"/>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Servicios e información</v>
      </c>
      <c r="C1730" s="114" t="str" cm="1">
        <f t="array" ref="C1730">IFERROR(INDEX('03.Muestra'!$F$8:$F$42,SMALL(IF("Página Web"='03.Muestra'!$D$8:$D$42,ROW('03.Muestra'!$F$8:$F$42)-MIN(ROW('03.Muestra'!$D$8:$D$42))+1,""),ROW()-1728)),"")</f>
        <v>https://www.comunidad.madrid/servicios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Cultura y turismo</v>
      </c>
      <c r="C1731" s="114" t="str" cm="1">
        <f t="array" ref="C1731">IFERROR(INDEX('03.Muestra'!$F$8:$F$42,SMALL(IF("Página Web"='03.Muestra'!$D$8:$D$42,ROW('03.Muestra'!$F$8:$F$42)-MIN(ROW('03.Muestra'!$D$8:$D$42))+1,""),ROW()-1728)),"")</f>
        <v>https://www.comunidad.madrid/cultura</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Inversión y empresa</v>
      </c>
      <c r="C1732" s="114" t="str" cm="1">
        <f t="array" ref="C1732">IFERROR(INDEX('03.Muestra'!$F$8:$F$42,SMALL(IF("Página Web"='03.Muestra'!$D$8:$D$42,ROW('03.Muestra'!$F$8:$F$42)-MIN(ROW('03.Muestra'!$D$8:$D$42))+1,""),ROW()-1728)),"")</f>
        <v>https://www.comunidad.madrid/inversion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Acción de gobierno</v>
      </c>
      <c r="C1733" s="114" t="str" cm="1">
        <f t="array" ref="C1733">IFERROR(INDEX('03.Muestra'!$F$8:$F$42,SMALL(IF("Página Web"='03.Muestra'!$D$8:$D$42,ROW('03.Muestra'!$F$8:$F$42)-MIN(ROW('03.Muestra'!$D$8:$D$42))+1,""),ROW()-1728)),"")</f>
        <v>https://www.comunidad.madrid/gobierno</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Video</v>
      </c>
      <c r="C1734" s="114" t="str" cm="1">
        <f t="array" ref="C1734">IFERROR(INDEX('03.Muestra'!$F$8:$F$42,SMALL(IF("Página Web"='03.Muestra'!$D$8:$D$42,ROW('03.Muestra'!$F$8:$F$42)-MIN(ROW('03.Muestra'!$D$8:$D$42))+1,""),ROW()-1728)),"")</f>
        <v>https://www.comunidad.madrid/noticias/2023/12/18/diaz-ayuso-reconoce-35-personas-han-realizado-actuaciones-extraordinarias-ayuda-servicio-metro-este-ano-representan-valores-madrid</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Contacto</v>
      </c>
      <c r="C1735" s="114" t="str" cm="1">
        <f t="array" ref="C1735">IFERROR(INDEX('03.Muestra'!$F$8:$F$42,SMALL(IF("Página Web"='03.Muestra'!$D$8:$D$42,ROW('03.Muestra'!$F$8:$F$42)-MIN(ROW('03.Muestra'!$D$8:$D$42))+1,""),ROW()-1728)),"")</f>
        <v>https://www.comunidad.madrid/servicios/atencion-ciudadano</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Aviso Legal</v>
      </c>
      <c r="C1736" s="114" t="str" cm="1">
        <f t="array" ref="C1736">IFERROR(INDEX('03.Muestra'!$F$8:$F$42,SMALL(IF("Página Web"='03.Muestra'!$D$8:$D$42,ROW('03.Muestra'!$F$8:$F$42)-MIN(ROW('03.Muestra'!$D$8:$D$42))+1,""),ROW()-1728)),"")</f>
        <v>https://www.comunidad.madrid/servicios/informacion-atencion-ciudadano/aviso-legal-privacidad</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Mapa web</v>
      </c>
      <c r="C1737" s="114" t="str" cm="1">
        <f t="array" ref="C1737">IFERROR(INDEX('03.Muestra'!$F$8:$F$42,SMALL(IF("Página Web"='03.Muestra'!$D$8:$D$42,ROW('03.Muestra'!$F$8:$F$42)-MIN(ROW('03.Muestra'!$D$8:$D$42))+1,""),ROW()-1728)),"")</f>
        <v>https://www.comunidad.madrid/sitemap</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Accesibilidad</v>
      </c>
      <c r="C1738" s="114" t="str" cm="1">
        <f t="array" ref="C1738">IFERROR(INDEX('03.Muestra'!$F$8:$F$42,SMALL(IF("Página Web"='03.Muestra'!$D$8:$D$42,ROW('03.Muestra'!$F$8:$F$42)-MIN(ROW('03.Muestra'!$D$8:$D$42))+1,""),ROW()-1728)),"")</f>
        <v>https://www.comunidad.madrid/servicios/informacion-atencion-ciudadano/accesibilidad-web</v>
      </c>
      <c r="D1738" s="130" t="s">
        <v>35</v>
      </c>
      <c r="E1738" s="107" t="str">
        <f t="shared" si="90"/>
        <v/>
      </c>
      <c r="F1738" s="19"/>
      <c r="G1738" s="19"/>
      <c r="H1738" s="19"/>
      <c r="I1738" s="19"/>
      <c r="J1738" s="19"/>
      <c r="K1738" s="233"/>
    </row>
    <row r="1739" spans="1:11" ht="12" customHeight="1">
      <c r="A1739" s="219" t="str" cm="1">
        <f t="array" ref="A1739">IFERROR(INDEX('03.Muestra'!$B$8:$B$42,SMALL(IF("Página Web"='03.Muestra'!$D$8:$D$42,ROW('03.Muestra'!$B$8:$B$42)-MIN(ROW('03.Muestra'!$D$8:$D$42))+1,""),ROW()-1728)),"")</f>
        <v/>
      </c>
      <c r="B1739" s="114" t="str" cm="1">
        <f t="array" ref="B1739">IFERROR(INDEX('03.Muestra'!$C$8:$C$42,SMALL(IF("Página Web"='03.Muestra'!$D$8:$D$42,ROW('03.Muestra'!$C$8:$C$42)-MIN(ROW('03.Muestra'!$D$8:$D$42))+1,""),ROW()-1728)),"")</f>
        <v/>
      </c>
      <c r="C1739" s="114" t="str" cm="1">
        <f t="array" ref="C1739">IFERROR(INDEX('03.Muestra'!$F$8:$F$42,SMALL(IF("Página Web"='03.Muestra'!$D$8:$D$42,ROW('03.Muestra'!$F$8:$F$42)-MIN(ROW('03.Muestra'!$D$8:$D$42))+1,""),ROW()-1728)),"")</f>
        <v/>
      </c>
      <c r="D1739" s="130" t="str">
        <f t="shared" ref="D1739:D1763" si="91">IF(AND(B1739&lt;&gt;"",C1739&lt;&gt;""),"N/T","")</f>
        <v/>
      </c>
      <c r="E1739" s="107" t="str">
        <f t="shared" si="90"/>
        <v/>
      </c>
      <c r="F1739" s="19"/>
      <c r="G1739" s="19"/>
      <c r="H1739" s="19"/>
      <c r="I1739" s="19"/>
      <c r="J1739" s="19"/>
      <c r="K1739" s="233"/>
    </row>
    <row r="1740" spans="1:11" ht="12" customHeight="1">
      <c r="A1740" s="219" t="str" cm="1">
        <f t="array" ref="A1740">IFERROR(INDEX('03.Muestra'!$B$8:$B$42,SMALL(IF("Página Web"='03.Muestra'!$D$8:$D$42,ROW('03.Muestra'!$B$8:$B$42)-MIN(ROW('03.Muestra'!$D$8:$D$42))+1,""),ROW()-1728)),"")</f>
        <v/>
      </c>
      <c r="B1740" s="114" t="str" cm="1">
        <f t="array" ref="B1740">IFERROR(INDEX('03.Muestra'!$C$8:$C$42,SMALL(IF("Página Web"='03.Muestra'!$D$8:$D$42,ROW('03.Muestra'!$C$8:$C$42)-MIN(ROW('03.Muestra'!$D$8:$D$42))+1,""),ROW()-1728)),"")</f>
        <v/>
      </c>
      <c r="C1740" s="114" t="str" cm="1">
        <f t="array" ref="C1740">IFERROR(INDEX('03.Muestra'!$F$8:$F$42,SMALL(IF("Página Web"='03.Muestra'!$D$8:$D$42,ROW('03.Muestra'!$F$8:$F$42)-MIN(ROW('03.Muestra'!$D$8:$D$42))+1,""),ROW()-1728)),"")</f>
        <v/>
      </c>
      <c r="D1740" s="130" t="str">
        <f t="shared" si="91"/>
        <v/>
      </c>
      <c r="E1740" s="107" t="str">
        <f t="shared" si="90"/>
        <v/>
      </c>
      <c r="F1740" s="19"/>
      <c r="G1740" s="19"/>
      <c r="H1740" s="19"/>
      <c r="I1740" s="19"/>
      <c r="J1740" s="19"/>
      <c r="K1740" s="233"/>
    </row>
    <row r="1741" spans="1:11" ht="12" customHeight="1">
      <c r="A1741" s="219" t="str" cm="1">
        <f t="array" ref="A1741">IFERROR(INDEX('03.Muestra'!$B$8:$B$42,SMALL(IF("Página Web"='03.Muestra'!$D$8:$D$42,ROW('03.Muestra'!$B$8:$B$42)-MIN(ROW('03.Muestra'!$D$8:$D$42))+1,""),ROW()-1728)),"")</f>
        <v/>
      </c>
      <c r="B1741" s="114" t="str" cm="1">
        <f t="array" ref="B1741">IFERROR(INDEX('03.Muestra'!$C$8:$C$42,SMALL(IF("Página Web"='03.Muestra'!$D$8:$D$42,ROW('03.Muestra'!$C$8:$C$42)-MIN(ROW('03.Muestra'!$D$8:$D$42))+1,""),ROW()-1728)),"")</f>
        <v/>
      </c>
      <c r="C1741" s="114" t="str" cm="1">
        <f t="array" ref="C1741">IFERROR(INDEX('03.Muestra'!$F$8:$F$42,SMALL(IF("Página Web"='03.Muestra'!$D$8:$D$42,ROW('03.Muestra'!$F$8:$F$42)-MIN(ROW('03.Muestra'!$D$8:$D$42))+1,""),ROW()-1728)),"")</f>
        <v/>
      </c>
      <c r="D1741" s="130" t="str">
        <f t="shared" si="91"/>
        <v/>
      </c>
      <c r="E1741" s="107" t="str">
        <f t="shared" si="90"/>
        <v/>
      </c>
      <c r="F1741" s="19"/>
      <c r="G1741" s="19"/>
      <c r="H1741" s="19"/>
      <c r="I1741" s="19"/>
      <c r="J1741" s="19"/>
      <c r="K1741" s="233"/>
    </row>
    <row r="1742" spans="1:11" ht="12" customHeight="1">
      <c r="A1742" s="219" t="str" cm="1">
        <f t="array" ref="A1742">IFERROR(INDEX('03.Muestra'!$B$8:$B$42,SMALL(IF("Página Web"='03.Muestra'!$D$8:$D$42,ROW('03.Muestra'!$B$8:$B$42)-MIN(ROW('03.Muestra'!$D$8:$D$42))+1,""),ROW()-1728)),"")</f>
        <v/>
      </c>
      <c r="B1742" s="114" t="str" cm="1">
        <f t="array" ref="B1742">IFERROR(INDEX('03.Muestra'!$C$8:$C$42,SMALL(IF("Página Web"='03.Muestra'!$D$8:$D$42,ROW('03.Muestra'!$C$8:$C$42)-MIN(ROW('03.Muestra'!$D$8:$D$42))+1,""),ROW()-1728)),"")</f>
        <v/>
      </c>
      <c r="C1742" s="114" t="str" cm="1">
        <f t="array" ref="C1742">IFERROR(INDEX('03.Muestra'!$F$8:$F$42,SMALL(IF("Página Web"='03.Muestra'!$D$8:$D$42,ROW('03.Muestra'!$F$8:$F$42)-MIN(ROW('03.Muestra'!$D$8:$D$42))+1,""),ROW()-1728)),"")</f>
        <v/>
      </c>
      <c r="D1742" s="130" t="str">
        <f t="shared" si="91"/>
        <v/>
      </c>
      <c r="E1742" s="107" t="str">
        <f t="shared" si="90"/>
        <v/>
      </c>
      <c r="F1742" s="19"/>
      <c r="G1742" s="19"/>
      <c r="H1742" s="19"/>
      <c r="I1742" s="19"/>
      <c r="J1742" s="19"/>
      <c r="K1742" s="233"/>
    </row>
    <row r="1743" spans="1:11" ht="12" customHeight="1">
      <c r="A1743" s="219" t="str" cm="1">
        <f t="array" ref="A1743">IFERROR(INDEX('03.Muestra'!$B$8:$B$42,SMALL(IF("Página Web"='03.Muestra'!$D$8:$D$42,ROW('03.Muestra'!$B$8:$B$42)-MIN(ROW('03.Muestra'!$D$8:$D$42))+1,""),ROW()-1728)),"")</f>
        <v/>
      </c>
      <c r="B1743" s="114" t="str" cm="1">
        <f t="array" ref="B1743">IFERROR(INDEX('03.Muestra'!$C$8:$C$42,SMALL(IF("Página Web"='03.Muestra'!$D$8:$D$42,ROW('03.Muestra'!$C$8:$C$42)-MIN(ROW('03.Muestra'!$D$8:$D$42))+1,""),ROW()-1728)),"")</f>
        <v/>
      </c>
      <c r="C1743" s="114" t="str" cm="1">
        <f t="array" ref="C1743">IFERROR(INDEX('03.Muestra'!$F$8:$F$42,SMALL(IF("Página Web"='03.Muestra'!$D$8:$D$42,ROW('03.Muestra'!$F$8:$F$42)-MIN(ROW('03.Muestra'!$D$8:$D$42))+1,""),ROW()-1728)),"")</f>
        <v/>
      </c>
      <c r="D1743" s="130" t="str">
        <f t="shared" si="91"/>
        <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si="91"/>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v>
      </c>
      <c r="D1767" s="130" t="s">
        <v>28</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Servicios e información</v>
      </c>
      <c r="C1768" s="114" t="str" cm="1">
        <f t="array" ref="C1768">IFERROR(INDEX('03.Muestra'!$F$8:$F$42,SMALL(IF("Página Web"='03.Muestra'!$D$8:$D$42,ROW('03.Muestra'!$F$8:$F$42)-MIN(ROW('03.Muestra'!$D$8:$D$42))+1,""),ROW()-1766)),"")</f>
        <v>https://www.comunidad.madrid/servicios</v>
      </c>
      <c r="D1768" s="130" t="s">
        <v>28</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6</v>
      </c>
      <c r="J1768" s="120">
        <f ca="1">COUNTIF($D1767:INDIRECT("$D" &amp;  SUM(ROW()-1,'03.Muestra'!$D$45)-1),J1767)</f>
        <v>4</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Cultura y turismo</v>
      </c>
      <c r="C1769" s="114" t="str" cm="1">
        <f t="array" ref="C1769">IFERROR(INDEX('03.Muestra'!$F$8:$F$42,SMALL(IF("Página Web"='03.Muestra'!$D$8:$D$42,ROW('03.Muestra'!$F$8:$F$42)-MIN(ROW('03.Muestra'!$D$8:$D$42))+1,""),ROW()-1766)),"")</f>
        <v>https://www.comunidad.madrid/cultura</v>
      </c>
      <c r="D1769" s="130" t="s">
        <v>28</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Inversión y empresa</v>
      </c>
      <c r="C1770" s="114" t="str" cm="1">
        <f t="array" ref="C1770">IFERROR(INDEX('03.Muestra'!$F$8:$F$42,SMALL(IF("Página Web"='03.Muestra'!$D$8:$D$42,ROW('03.Muestra'!$F$8:$F$42)-MIN(ROW('03.Muestra'!$D$8:$D$42))+1,""),ROW()-1766)),"")</f>
        <v>https://www.comunidad.madrid/inversion</v>
      </c>
      <c r="D1770" s="130" t="s">
        <v>28</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Acción de gobierno</v>
      </c>
      <c r="C1771" s="114" t="str" cm="1">
        <f t="array" ref="C1771">IFERROR(INDEX('03.Muestra'!$F$8:$F$42,SMALL(IF("Página Web"='03.Muestra'!$D$8:$D$42,ROW('03.Muestra'!$F$8:$F$42)-MIN(ROW('03.Muestra'!$D$8:$D$42))+1,""),ROW()-1766)),"")</f>
        <v>https://www.comunidad.madrid/gobierno</v>
      </c>
      <c r="D1771" s="130" t="s">
        <v>28</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Video</v>
      </c>
      <c r="C1772" s="114" t="str" cm="1">
        <f t="array" ref="C1772">IFERROR(INDEX('03.Muestra'!$F$8:$F$42,SMALL(IF("Página Web"='03.Muestra'!$D$8:$D$42,ROW('03.Muestra'!$F$8:$F$42)-MIN(ROW('03.Muestra'!$D$8:$D$42))+1,""),ROW()-1766)),"")</f>
        <v>https://www.comunidad.madrid/noticias/2023/12/18/diaz-ayuso-reconoce-35-personas-han-realizado-actuaciones-extraordinarias-ayuda-servicio-metro-este-ano-representan-valores-madrid</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Contacto</v>
      </c>
      <c r="C1773" s="114" t="str" cm="1">
        <f t="array" ref="C1773">IFERROR(INDEX('03.Muestra'!$F$8:$F$42,SMALL(IF("Página Web"='03.Muestra'!$D$8:$D$42,ROW('03.Muestra'!$F$8:$F$42)-MIN(ROW('03.Muestra'!$D$8:$D$42))+1,""),ROW()-1766)),"")</f>
        <v>https://www.comunidad.madrid/servicios/atencion-ciudadano</v>
      </c>
      <c r="D1773" s="130" t="s">
        <v>28</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Aviso Legal</v>
      </c>
      <c r="C1774" s="114" t="str" cm="1">
        <f t="array" ref="C1774">IFERROR(INDEX('03.Muestra'!$F$8:$F$42,SMALL(IF("Página Web"='03.Muestra'!$D$8:$D$42,ROW('03.Muestra'!$F$8:$F$42)-MIN(ROW('03.Muestra'!$D$8:$D$42))+1,""),ROW()-1766)),"")</f>
        <v>https://www.comunidad.madrid/servicios/informacion-atencion-ciudadano/aviso-legal-privacidad</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Mapa web</v>
      </c>
      <c r="C1775" s="114" t="str" cm="1">
        <f t="array" ref="C1775">IFERROR(INDEX('03.Muestra'!$F$8:$F$42,SMALL(IF("Página Web"='03.Muestra'!$D$8:$D$42,ROW('03.Muestra'!$F$8:$F$42)-MIN(ROW('03.Muestra'!$D$8:$D$42))+1,""),ROW()-1766)),"")</f>
        <v>https://www.comunidad.madrid/sitemap</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Accesibilidad</v>
      </c>
      <c r="C1776" s="114" t="str" cm="1">
        <f t="array" ref="C1776">IFERROR(INDEX('03.Muestra'!$F$8:$F$42,SMALL(IF("Página Web"='03.Muestra'!$D$8:$D$42,ROW('03.Muestra'!$F$8:$F$42)-MIN(ROW('03.Muestra'!$D$8:$D$42))+1,""),ROW()-1766)),"")</f>
        <v>https://www.comunidad.madrid/servicios/informacion-atencion-ciudadano/accesibilidad-web</v>
      </c>
      <c r="D1776" s="130" t="s">
        <v>26</v>
      </c>
      <c r="E1776" s="107" t="str">
        <f t="shared" si="92"/>
        <v/>
      </c>
      <c r="F1776" s="19"/>
      <c r="G1776" s="19"/>
      <c r="H1776" s="19"/>
      <c r="I1776" s="19"/>
      <c r="J1776" s="19"/>
      <c r="K1776" s="233"/>
    </row>
    <row r="1777" spans="1:11" ht="12" customHeight="1">
      <c r="A1777" s="219" t="str" cm="1">
        <f t="array" ref="A1777">IFERROR(INDEX('03.Muestra'!$B$8:$B$42,SMALL(IF("Página Web"='03.Muestra'!$D$8:$D$42,ROW('03.Muestra'!$B$8:$B$42)-MIN(ROW('03.Muestra'!$D$8:$D$42))+1,""),ROW()-1766)),"")</f>
        <v/>
      </c>
      <c r="B1777" s="114" t="str" cm="1">
        <f t="array" ref="B1777">IFERROR(INDEX('03.Muestra'!$C$8:$C$42,SMALL(IF("Página Web"='03.Muestra'!$D$8:$D$42,ROW('03.Muestra'!$C$8:$C$42)-MIN(ROW('03.Muestra'!$D$8:$D$42))+1,""),ROW()-1766)),"")</f>
        <v/>
      </c>
      <c r="C1777" s="114" t="str" cm="1">
        <f t="array" ref="C1777">IFERROR(INDEX('03.Muestra'!$F$8:$F$42,SMALL(IF("Página Web"='03.Muestra'!$D$8:$D$42,ROW('03.Muestra'!$F$8:$F$42)-MIN(ROW('03.Muestra'!$D$8:$D$42))+1,""),ROW()-1766)),"")</f>
        <v/>
      </c>
      <c r="D1777" s="130" t="str">
        <f t="shared" ref="D1777:D1801" si="93">IF(AND(B1777&lt;&gt;"",C1777&lt;&gt;""),"N/T","")</f>
        <v/>
      </c>
      <c r="E1777" s="107" t="str">
        <f t="shared" si="92"/>
        <v/>
      </c>
      <c r="F1777" s="19"/>
      <c r="G1777" s="19"/>
      <c r="H1777" s="19"/>
      <c r="I1777" s="19"/>
      <c r="J1777" s="19"/>
      <c r="K1777" s="233"/>
    </row>
    <row r="1778" spans="1:11" ht="12" customHeight="1">
      <c r="A1778" s="219" t="str" cm="1">
        <f t="array" ref="A1778">IFERROR(INDEX('03.Muestra'!$B$8:$B$42,SMALL(IF("Página Web"='03.Muestra'!$D$8:$D$42,ROW('03.Muestra'!$B$8:$B$42)-MIN(ROW('03.Muestra'!$D$8:$D$42))+1,""),ROW()-1766)),"")</f>
        <v/>
      </c>
      <c r="B1778" s="114" t="str" cm="1">
        <f t="array" ref="B1778">IFERROR(INDEX('03.Muestra'!$C$8:$C$42,SMALL(IF("Página Web"='03.Muestra'!$D$8:$D$42,ROW('03.Muestra'!$C$8:$C$42)-MIN(ROW('03.Muestra'!$D$8:$D$42))+1,""),ROW()-1766)),"")</f>
        <v/>
      </c>
      <c r="C1778" s="114" t="str" cm="1">
        <f t="array" ref="C1778">IFERROR(INDEX('03.Muestra'!$F$8:$F$42,SMALL(IF("Página Web"='03.Muestra'!$D$8:$D$42,ROW('03.Muestra'!$F$8:$F$42)-MIN(ROW('03.Muestra'!$D$8:$D$42))+1,""),ROW()-1766)),"")</f>
        <v/>
      </c>
      <c r="D1778" s="130" t="str">
        <f t="shared" si="93"/>
        <v/>
      </c>
      <c r="E1778" s="107" t="str">
        <f t="shared" si="92"/>
        <v/>
      </c>
      <c r="F1778" s="19"/>
      <c r="G1778" s="19"/>
      <c r="H1778" s="19"/>
      <c r="I1778" s="19"/>
      <c r="J1778" s="19"/>
      <c r="K1778" s="233"/>
    </row>
    <row r="1779" spans="1:11" ht="12" customHeight="1">
      <c r="A1779" s="219" t="str" cm="1">
        <f t="array" ref="A1779">IFERROR(INDEX('03.Muestra'!$B$8:$B$42,SMALL(IF("Página Web"='03.Muestra'!$D$8:$D$42,ROW('03.Muestra'!$B$8:$B$42)-MIN(ROW('03.Muestra'!$D$8:$D$42))+1,""),ROW()-1766)),"")</f>
        <v/>
      </c>
      <c r="B1779" s="114" t="str" cm="1">
        <f t="array" ref="B1779">IFERROR(INDEX('03.Muestra'!$C$8:$C$42,SMALL(IF("Página Web"='03.Muestra'!$D$8:$D$42,ROW('03.Muestra'!$C$8:$C$42)-MIN(ROW('03.Muestra'!$D$8:$D$42))+1,""),ROW()-1766)),"")</f>
        <v/>
      </c>
      <c r="C1779" s="114" t="str" cm="1">
        <f t="array" ref="C1779">IFERROR(INDEX('03.Muestra'!$F$8:$F$42,SMALL(IF("Página Web"='03.Muestra'!$D$8:$D$42,ROW('03.Muestra'!$F$8:$F$42)-MIN(ROW('03.Muestra'!$D$8:$D$42))+1,""),ROW()-1766)),"")</f>
        <v/>
      </c>
      <c r="D1779" s="130" t="str">
        <f t="shared" si="93"/>
        <v/>
      </c>
      <c r="E1779" s="107" t="str">
        <f t="shared" si="92"/>
        <v/>
      </c>
      <c r="F1779" s="19"/>
      <c r="G1779" s="19"/>
      <c r="H1779" s="19"/>
      <c r="I1779" s="19"/>
      <c r="J1779" s="19"/>
      <c r="K1779" s="233"/>
    </row>
    <row r="1780" spans="1:11" ht="12" customHeight="1">
      <c r="A1780" s="219" t="str" cm="1">
        <f t="array" ref="A1780">IFERROR(INDEX('03.Muestra'!$B$8:$B$42,SMALL(IF("Página Web"='03.Muestra'!$D$8:$D$42,ROW('03.Muestra'!$B$8:$B$42)-MIN(ROW('03.Muestra'!$D$8:$D$42))+1,""),ROW()-1766)),"")</f>
        <v/>
      </c>
      <c r="B1780" s="114" t="str" cm="1">
        <f t="array" ref="B1780">IFERROR(INDEX('03.Muestra'!$C$8:$C$42,SMALL(IF("Página Web"='03.Muestra'!$D$8:$D$42,ROW('03.Muestra'!$C$8:$C$42)-MIN(ROW('03.Muestra'!$D$8:$D$42))+1,""),ROW()-1766)),"")</f>
        <v/>
      </c>
      <c r="C1780" s="114" t="str" cm="1">
        <f t="array" ref="C1780">IFERROR(INDEX('03.Muestra'!$F$8:$F$42,SMALL(IF("Página Web"='03.Muestra'!$D$8:$D$42,ROW('03.Muestra'!$F$8:$F$42)-MIN(ROW('03.Muestra'!$D$8:$D$42))+1,""),ROW()-1766)),"")</f>
        <v/>
      </c>
      <c r="D1780" s="130" t="str">
        <f t="shared" si="93"/>
        <v/>
      </c>
      <c r="E1780" s="107" t="str">
        <f t="shared" si="92"/>
        <v/>
      </c>
      <c r="F1780" s="19"/>
      <c r="G1780" s="19"/>
      <c r="H1780" s="19"/>
      <c r="I1780" s="19"/>
      <c r="J1780" s="19"/>
      <c r="K1780" s="233"/>
    </row>
    <row r="1781" spans="1:11" ht="12" customHeight="1">
      <c r="A1781" s="219" t="str" cm="1">
        <f t="array" ref="A1781">IFERROR(INDEX('03.Muestra'!$B$8:$B$42,SMALL(IF("Página Web"='03.Muestra'!$D$8:$D$42,ROW('03.Muestra'!$B$8:$B$42)-MIN(ROW('03.Muestra'!$D$8:$D$42))+1,""),ROW()-1766)),"")</f>
        <v/>
      </c>
      <c r="B1781" s="114" t="str" cm="1">
        <f t="array" ref="B1781">IFERROR(INDEX('03.Muestra'!$C$8:$C$42,SMALL(IF("Página Web"='03.Muestra'!$D$8:$D$42,ROW('03.Muestra'!$C$8:$C$42)-MIN(ROW('03.Muestra'!$D$8:$D$42))+1,""),ROW()-1766)),"")</f>
        <v/>
      </c>
      <c r="C1781" s="114" t="str" cm="1">
        <f t="array" ref="C1781">IFERROR(INDEX('03.Muestra'!$F$8:$F$42,SMALL(IF("Página Web"='03.Muestra'!$D$8:$D$42,ROW('03.Muestra'!$F$8:$F$42)-MIN(ROW('03.Muestra'!$D$8:$D$42))+1,""),ROW()-1766)),"")</f>
        <v/>
      </c>
      <c r="D1781" s="130" t="str">
        <f t="shared" si="93"/>
        <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si="93"/>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v>
      </c>
      <c r="D1805" s="130" t="s">
        <v>28</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Servicios e información</v>
      </c>
      <c r="C1806" s="114" t="str" cm="1">
        <f t="array" ref="C1806">IFERROR(INDEX('03.Muestra'!$F$8:$F$42,SMALL(IF("Página Web"='03.Muestra'!$D$8:$D$42,ROW('03.Muestra'!$F$8:$F$42)-MIN(ROW('03.Muestra'!$D$8:$D$42))+1,""),ROW()-1804)),"")</f>
        <v>https://www.comunidad.madrid/servicios</v>
      </c>
      <c r="D1806" s="130" t="s">
        <v>28</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6</v>
      </c>
      <c r="J1806" s="120">
        <f ca="1">COUNTIF($D1805:INDIRECT("$D" &amp;  SUM(ROW()-1,'03.Muestra'!$D$45)-1),J1805)</f>
        <v>4</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Cultura y turismo</v>
      </c>
      <c r="C1807" s="114" t="str" cm="1">
        <f t="array" ref="C1807">IFERROR(INDEX('03.Muestra'!$F$8:$F$42,SMALL(IF("Página Web"='03.Muestra'!$D$8:$D$42,ROW('03.Muestra'!$F$8:$F$42)-MIN(ROW('03.Muestra'!$D$8:$D$42))+1,""),ROW()-1804)),"")</f>
        <v>https://www.comunidad.madrid/cultura</v>
      </c>
      <c r="D1807" s="130" t="s">
        <v>28</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Inversión y empresa</v>
      </c>
      <c r="C1808" s="114" t="str" cm="1">
        <f t="array" ref="C1808">IFERROR(INDEX('03.Muestra'!$F$8:$F$42,SMALL(IF("Página Web"='03.Muestra'!$D$8:$D$42,ROW('03.Muestra'!$F$8:$F$42)-MIN(ROW('03.Muestra'!$D$8:$D$42))+1,""),ROW()-1804)),"")</f>
        <v>https://www.comunidad.madrid/inversion</v>
      </c>
      <c r="D1808" s="130" t="s">
        <v>28</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Acción de gobierno</v>
      </c>
      <c r="C1809" s="114" t="str" cm="1">
        <f t="array" ref="C1809">IFERROR(INDEX('03.Muestra'!$F$8:$F$42,SMALL(IF("Página Web"='03.Muestra'!$D$8:$D$42,ROW('03.Muestra'!$F$8:$F$42)-MIN(ROW('03.Muestra'!$D$8:$D$42))+1,""),ROW()-1804)),"")</f>
        <v>https://www.comunidad.madrid/gobierno</v>
      </c>
      <c r="D1809" s="130" t="s">
        <v>28</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Video</v>
      </c>
      <c r="C1810" s="114" t="str" cm="1">
        <f t="array" ref="C1810">IFERROR(INDEX('03.Muestra'!$F$8:$F$42,SMALL(IF("Página Web"='03.Muestra'!$D$8:$D$42,ROW('03.Muestra'!$F$8:$F$42)-MIN(ROW('03.Muestra'!$D$8:$D$42))+1,""),ROW()-1804)),"")</f>
        <v>https://www.comunidad.madrid/noticias/2023/12/18/diaz-ayuso-reconoce-35-personas-han-realizado-actuaciones-extraordinarias-ayuda-servicio-metro-este-ano-representan-valores-madrid</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Contacto</v>
      </c>
      <c r="C1811" s="114" t="str" cm="1">
        <f t="array" ref="C1811">IFERROR(INDEX('03.Muestra'!$F$8:$F$42,SMALL(IF("Página Web"='03.Muestra'!$D$8:$D$42,ROW('03.Muestra'!$F$8:$F$42)-MIN(ROW('03.Muestra'!$D$8:$D$42))+1,""),ROW()-1804)),"")</f>
        <v>https://www.comunidad.madrid/servicios/atencion-ciudadano</v>
      </c>
      <c r="D1811" s="130" t="s">
        <v>28</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Aviso Legal</v>
      </c>
      <c r="C1812" s="114" t="str" cm="1">
        <f t="array" ref="C1812">IFERROR(INDEX('03.Muestra'!$F$8:$F$42,SMALL(IF("Página Web"='03.Muestra'!$D$8:$D$42,ROW('03.Muestra'!$F$8:$F$42)-MIN(ROW('03.Muestra'!$D$8:$D$42))+1,""),ROW()-1804)),"")</f>
        <v>https://www.comunidad.madrid/servicios/informacion-atencion-ciudadano/aviso-legal-privacidad</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Mapa web</v>
      </c>
      <c r="C1813" s="114" t="str" cm="1">
        <f t="array" ref="C1813">IFERROR(INDEX('03.Muestra'!$F$8:$F$42,SMALL(IF("Página Web"='03.Muestra'!$D$8:$D$42,ROW('03.Muestra'!$F$8:$F$42)-MIN(ROW('03.Muestra'!$D$8:$D$42))+1,""),ROW()-1804)),"")</f>
        <v>https://www.comunidad.madrid/sitemap</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Accesibilidad</v>
      </c>
      <c r="C1814" s="114" t="str" cm="1">
        <f t="array" ref="C1814">IFERROR(INDEX('03.Muestra'!$F$8:$F$42,SMALL(IF("Página Web"='03.Muestra'!$D$8:$D$42,ROW('03.Muestra'!$F$8:$F$42)-MIN(ROW('03.Muestra'!$D$8:$D$42))+1,""),ROW()-1804)),"")</f>
        <v>https://www.comunidad.madrid/servicios/informacion-atencion-ciudadano/accesibilidad-web</v>
      </c>
      <c r="D1814" s="130" t="s">
        <v>26</v>
      </c>
      <c r="E1814" s="107" t="str">
        <f t="shared" si="94"/>
        <v/>
      </c>
      <c r="F1814" s="19"/>
      <c r="G1814" s="19"/>
      <c r="H1814" s="19"/>
      <c r="I1814" s="19"/>
      <c r="J1814" s="19"/>
      <c r="K1814" s="233"/>
    </row>
    <row r="1815" spans="1:11" ht="12" customHeight="1">
      <c r="A1815" s="219" t="str" cm="1">
        <f t="array" ref="A1815">IFERROR(INDEX('03.Muestra'!$B$8:$B$42,SMALL(IF("Página Web"='03.Muestra'!$D$8:$D$42,ROW('03.Muestra'!$B$8:$B$42)-MIN(ROW('03.Muestra'!$D$8:$D$42))+1,""),ROW()-1804)),"")</f>
        <v/>
      </c>
      <c r="B1815" s="114" t="str" cm="1">
        <f t="array" ref="B1815">IFERROR(INDEX('03.Muestra'!$C$8:$C$42,SMALL(IF("Página Web"='03.Muestra'!$D$8:$D$42,ROW('03.Muestra'!$C$8:$C$42)-MIN(ROW('03.Muestra'!$D$8:$D$42))+1,""),ROW()-1804)),"")</f>
        <v/>
      </c>
      <c r="C1815" s="114" t="str" cm="1">
        <f t="array" ref="C1815">IFERROR(INDEX('03.Muestra'!$F$8:$F$42,SMALL(IF("Página Web"='03.Muestra'!$D$8:$D$42,ROW('03.Muestra'!$F$8:$F$42)-MIN(ROW('03.Muestra'!$D$8:$D$42))+1,""),ROW()-1804)),"")</f>
        <v/>
      </c>
      <c r="D1815" s="130" t="str">
        <f t="shared" ref="D1815:D1839" si="95">IF(AND(B1815&lt;&gt;"",C1815&lt;&gt;""),"N/T","")</f>
        <v/>
      </c>
      <c r="E1815" s="107" t="str">
        <f t="shared" si="94"/>
        <v/>
      </c>
      <c r="F1815" s="19"/>
      <c r="G1815" s="19"/>
      <c r="H1815" s="19"/>
      <c r="I1815" s="19"/>
      <c r="J1815" s="19"/>
      <c r="K1815" s="233"/>
    </row>
    <row r="1816" spans="1:11" ht="12" customHeight="1">
      <c r="A1816" s="219" t="str" cm="1">
        <f t="array" ref="A1816">IFERROR(INDEX('03.Muestra'!$B$8:$B$42,SMALL(IF("Página Web"='03.Muestra'!$D$8:$D$42,ROW('03.Muestra'!$B$8:$B$42)-MIN(ROW('03.Muestra'!$D$8:$D$42))+1,""),ROW()-1804)),"")</f>
        <v/>
      </c>
      <c r="B1816" s="114" t="str" cm="1">
        <f t="array" ref="B1816">IFERROR(INDEX('03.Muestra'!$C$8:$C$42,SMALL(IF("Página Web"='03.Muestra'!$D$8:$D$42,ROW('03.Muestra'!$C$8:$C$42)-MIN(ROW('03.Muestra'!$D$8:$D$42))+1,""),ROW()-1804)),"")</f>
        <v/>
      </c>
      <c r="C1816" s="114" t="str" cm="1">
        <f t="array" ref="C1816">IFERROR(INDEX('03.Muestra'!$F$8:$F$42,SMALL(IF("Página Web"='03.Muestra'!$D$8:$D$42,ROW('03.Muestra'!$F$8:$F$42)-MIN(ROW('03.Muestra'!$D$8:$D$42))+1,""),ROW()-1804)),"")</f>
        <v/>
      </c>
      <c r="D1816" s="130" t="str">
        <f t="shared" si="95"/>
        <v/>
      </c>
      <c r="E1816" s="107" t="str">
        <f t="shared" si="94"/>
        <v/>
      </c>
      <c r="F1816" s="19"/>
      <c r="G1816" s="19"/>
      <c r="H1816" s="19"/>
      <c r="I1816" s="19"/>
      <c r="J1816" s="19"/>
      <c r="K1816" s="233"/>
    </row>
    <row r="1817" spans="1:11" ht="12" customHeight="1">
      <c r="A1817" s="219" t="str" cm="1">
        <f t="array" ref="A1817">IFERROR(INDEX('03.Muestra'!$B$8:$B$42,SMALL(IF("Página Web"='03.Muestra'!$D$8:$D$42,ROW('03.Muestra'!$B$8:$B$42)-MIN(ROW('03.Muestra'!$D$8:$D$42))+1,""),ROW()-1804)),"")</f>
        <v/>
      </c>
      <c r="B1817" s="114" t="str" cm="1">
        <f t="array" ref="B1817">IFERROR(INDEX('03.Muestra'!$C$8:$C$42,SMALL(IF("Página Web"='03.Muestra'!$D$8:$D$42,ROW('03.Muestra'!$C$8:$C$42)-MIN(ROW('03.Muestra'!$D$8:$D$42))+1,""),ROW()-1804)),"")</f>
        <v/>
      </c>
      <c r="C1817" s="114" t="str" cm="1">
        <f t="array" ref="C1817">IFERROR(INDEX('03.Muestra'!$F$8:$F$42,SMALL(IF("Página Web"='03.Muestra'!$D$8:$D$42,ROW('03.Muestra'!$F$8:$F$42)-MIN(ROW('03.Muestra'!$D$8:$D$42))+1,""),ROW()-1804)),"")</f>
        <v/>
      </c>
      <c r="D1817" s="130" t="str">
        <f t="shared" si="95"/>
        <v/>
      </c>
      <c r="E1817" s="107" t="str">
        <f t="shared" si="94"/>
        <v/>
      </c>
      <c r="F1817" s="19"/>
      <c r="G1817" s="19"/>
      <c r="H1817" s="19"/>
      <c r="I1817" s="19"/>
      <c r="J1817" s="19"/>
      <c r="K1817" s="233"/>
    </row>
    <row r="1818" spans="1:11" ht="12" customHeight="1">
      <c r="A1818" s="219" t="str" cm="1">
        <f t="array" ref="A1818">IFERROR(INDEX('03.Muestra'!$B$8:$B$42,SMALL(IF("Página Web"='03.Muestra'!$D$8:$D$42,ROW('03.Muestra'!$B$8:$B$42)-MIN(ROW('03.Muestra'!$D$8:$D$42))+1,""),ROW()-1804)),"")</f>
        <v/>
      </c>
      <c r="B1818" s="114" t="str" cm="1">
        <f t="array" ref="B1818">IFERROR(INDEX('03.Muestra'!$C$8:$C$42,SMALL(IF("Página Web"='03.Muestra'!$D$8:$D$42,ROW('03.Muestra'!$C$8:$C$42)-MIN(ROW('03.Muestra'!$D$8:$D$42))+1,""),ROW()-1804)),"")</f>
        <v/>
      </c>
      <c r="C1818" s="114" t="str" cm="1">
        <f t="array" ref="C1818">IFERROR(INDEX('03.Muestra'!$F$8:$F$42,SMALL(IF("Página Web"='03.Muestra'!$D$8:$D$42,ROW('03.Muestra'!$F$8:$F$42)-MIN(ROW('03.Muestra'!$D$8:$D$42))+1,""),ROW()-1804)),"")</f>
        <v/>
      </c>
      <c r="D1818" s="130" t="str">
        <f t="shared" si="95"/>
        <v/>
      </c>
      <c r="E1818" s="107" t="str">
        <f t="shared" si="94"/>
        <v/>
      </c>
      <c r="F1818" s="19"/>
      <c r="G1818" s="19"/>
      <c r="H1818" s="19"/>
      <c r="I1818" s="19"/>
      <c r="J1818" s="19"/>
      <c r="K1818" s="233"/>
    </row>
    <row r="1819" spans="1:11" ht="12" customHeight="1">
      <c r="A1819" s="219" t="str" cm="1">
        <f t="array" ref="A1819">IFERROR(INDEX('03.Muestra'!$B$8:$B$42,SMALL(IF("Página Web"='03.Muestra'!$D$8:$D$42,ROW('03.Muestra'!$B$8:$B$42)-MIN(ROW('03.Muestra'!$D$8:$D$42))+1,""),ROW()-1804)),"")</f>
        <v/>
      </c>
      <c r="B1819" s="114" t="str" cm="1">
        <f t="array" ref="B1819">IFERROR(INDEX('03.Muestra'!$C$8:$C$42,SMALL(IF("Página Web"='03.Muestra'!$D$8:$D$42,ROW('03.Muestra'!$C$8:$C$42)-MIN(ROW('03.Muestra'!$D$8:$D$42))+1,""),ROW()-1804)),"")</f>
        <v/>
      </c>
      <c r="C1819" s="114" t="str" cm="1">
        <f t="array" ref="C1819">IFERROR(INDEX('03.Muestra'!$F$8:$F$42,SMALL(IF("Página Web"='03.Muestra'!$D$8:$D$42,ROW('03.Muestra'!$F$8:$F$42)-MIN(ROW('03.Muestra'!$D$8:$D$42))+1,""),ROW()-1804)),"")</f>
        <v/>
      </c>
      <c r="D1819" s="130" t="str">
        <f t="shared" si="95"/>
        <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si="95"/>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Servicios e información</v>
      </c>
      <c r="C1844" s="114" t="str" cm="1">
        <f t="array" ref="C1844">IFERROR(INDEX('03.Muestra'!$F$8:$F$42,SMALL(IF("Página Web"='03.Muestra'!$D$8:$D$42,ROW('03.Muestra'!$F$8:$F$42)-MIN(ROW('03.Muestra'!$D$8:$D$42))+1,""),ROW()-1842)),"")</f>
        <v>https://www.comunidad.madrid/servicios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Cultura y turismo</v>
      </c>
      <c r="C1845" s="114" t="str" cm="1">
        <f t="array" ref="C1845">IFERROR(INDEX('03.Muestra'!$F$8:$F$42,SMALL(IF("Página Web"='03.Muestra'!$D$8:$D$42,ROW('03.Muestra'!$F$8:$F$42)-MIN(ROW('03.Muestra'!$D$8:$D$42))+1,""),ROW()-1842)),"")</f>
        <v>https://www.comunidad.madrid/cultura</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Inversión y empresa</v>
      </c>
      <c r="C1846" s="114" t="str" cm="1">
        <f t="array" ref="C1846">IFERROR(INDEX('03.Muestra'!$F$8:$F$42,SMALL(IF("Página Web"='03.Muestra'!$D$8:$D$42,ROW('03.Muestra'!$F$8:$F$42)-MIN(ROW('03.Muestra'!$D$8:$D$42))+1,""),ROW()-1842)),"")</f>
        <v>https://www.comunidad.madrid/inversion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Acción de gobierno</v>
      </c>
      <c r="C1847" s="114" t="str" cm="1">
        <f t="array" ref="C1847">IFERROR(INDEX('03.Muestra'!$F$8:$F$42,SMALL(IF("Página Web"='03.Muestra'!$D$8:$D$42,ROW('03.Muestra'!$F$8:$F$42)-MIN(ROW('03.Muestra'!$D$8:$D$42))+1,""),ROW()-1842)),"")</f>
        <v>https://www.comunidad.madrid/gobierno</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Video</v>
      </c>
      <c r="C1848" s="114" t="str" cm="1">
        <f t="array" ref="C1848">IFERROR(INDEX('03.Muestra'!$F$8:$F$42,SMALL(IF("Página Web"='03.Muestra'!$D$8:$D$42,ROW('03.Muestra'!$F$8:$F$42)-MIN(ROW('03.Muestra'!$D$8:$D$42))+1,""),ROW()-1842)),"")</f>
        <v>https://www.comunidad.madrid/noticias/2023/12/18/diaz-ayuso-reconoce-35-personas-han-realizado-actuaciones-extraordinarias-ayuda-servicio-metro-este-ano-representan-valores-madrid</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Contacto</v>
      </c>
      <c r="C1849" s="114" t="str" cm="1">
        <f t="array" ref="C1849">IFERROR(INDEX('03.Muestra'!$F$8:$F$42,SMALL(IF("Página Web"='03.Muestra'!$D$8:$D$42,ROW('03.Muestra'!$F$8:$F$42)-MIN(ROW('03.Muestra'!$D$8:$D$42))+1,""),ROW()-1842)),"")</f>
        <v>https://www.comunidad.madrid/servicios/atencion-ciudadano</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Aviso Legal</v>
      </c>
      <c r="C1850" s="114" t="str" cm="1">
        <f t="array" ref="C1850">IFERROR(INDEX('03.Muestra'!$F$8:$F$42,SMALL(IF("Página Web"='03.Muestra'!$D$8:$D$42,ROW('03.Muestra'!$F$8:$F$42)-MIN(ROW('03.Muestra'!$D$8:$D$42))+1,""),ROW()-1842)),"")</f>
        <v>https://www.comunidad.madrid/servicios/informacion-atencion-ciudadano/aviso-legal-privacidad</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Mapa web</v>
      </c>
      <c r="C1851" s="114" t="str" cm="1">
        <f t="array" ref="C1851">IFERROR(INDEX('03.Muestra'!$F$8:$F$42,SMALL(IF("Página Web"='03.Muestra'!$D$8:$D$42,ROW('03.Muestra'!$F$8:$F$42)-MIN(ROW('03.Muestra'!$D$8:$D$42))+1,""),ROW()-1842)),"")</f>
        <v>https://www.comunidad.madrid/sitemap</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Accesibilidad</v>
      </c>
      <c r="C1852" s="114" t="str" cm="1">
        <f t="array" ref="C1852">IFERROR(INDEX('03.Muestra'!$F$8:$F$42,SMALL(IF("Página Web"='03.Muestra'!$D$8:$D$42,ROW('03.Muestra'!$F$8:$F$42)-MIN(ROW('03.Muestra'!$D$8:$D$42))+1,""),ROW()-1842)),"")</f>
        <v>https://www.comunidad.madrid/servicios/informacion-atencion-ciudadano/accesibilidad-web</v>
      </c>
      <c r="D1852" s="130" t="s">
        <v>35</v>
      </c>
      <c r="E1852" s="107" t="str">
        <f t="shared" si="96"/>
        <v/>
      </c>
      <c r="F1852" s="19"/>
      <c r="G1852" s="19"/>
      <c r="H1852" s="19"/>
      <c r="I1852" s="19"/>
      <c r="J1852" s="19"/>
      <c r="K1852" s="233"/>
    </row>
    <row r="1853" spans="1:11" ht="12" customHeight="1">
      <c r="A1853" s="219" t="str" cm="1">
        <f t="array" ref="A1853">IFERROR(INDEX('03.Muestra'!$B$8:$B$42,SMALL(IF("Página Web"='03.Muestra'!$D$8:$D$42,ROW('03.Muestra'!$B$8:$B$42)-MIN(ROW('03.Muestra'!$D$8:$D$42))+1,""),ROW()-1842)),"")</f>
        <v/>
      </c>
      <c r="B1853" s="114" t="str" cm="1">
        <f t="array" ref="B1853">IFERROR(INDEX('03.Muestra'!$C$8:$C$42,SMALL(IF("Página Web"='03.Muestra'!$D$8:$D$42,ROW('03.Muestra'!$C$8:$C$42)-MIN(ROW('03.Muestra'!$D$8:$D$42))+1,""),ROW()-1842)),"")</f>
        <v/>
      </c>
      <c r="C1853" s="114" t="str" cm="1">
        <f t="array" ref="C1853">IFERROR(INDEX('03.Muestra'!$F$8:$F$42,SMALL(IF("Página Web"='03.Muestra'!$D$8:$D$42,ROW('03.Muestra'!$F$8:$F$42)-MIN(ROW('03.Muestra'!$D$8:$D$42))+1,""),ROW()-1842)),"")</f>
        <v/>
      </c>
      <c r="D1853" s="130" t="str">
        <f t="shared" ref="D1853:D1877" si="97">IF(AND(B1853&lt;&gt;"",C1853&lt;&gt;""),"N/T","")</f>
        <v/>
      </c>
      <c r="E1853" s="107" t="str">
        <f t="shared" si="96"/>
        <v/>
      </c>
      <c r="F1853" s="19"/>
      <c r="G1853" s="19"/>
      <c r="H1853" s="19"/>
      <c r="I1853" s="19"/>
      <c r="J1853" s="19"/>
      <c r="K1853" s="233"/>
    </row>
    <row r="1854" spans="1:11" ht="12" customHeight="1">
      <c r="A1854" s="219" t="str" cm="1">
        <f t="array" ref="A1854">IFERROR(INDEX('03.Muestra'!$B$8:$B$42,SMALL(IF("Página Web"='03.Muestra'!$D$8:$D$42,ROW('03.Muestra'!$B$8:$B$42)-MIN(ROW('03.Muestra'!$D$8:$D$42))+1,""),ROW()-1842)),"")</f>
        <v/>
      </c>
      <c r="B1854" s="114" t="str" cm="1">
        <f t="array" ref="B1854">IFERROR(INDEX('03.Muestra'!$C$8:$C$42,SMALL(IF("Página Web"='03.Muestra'!$D$8:$D$42,ROW('03.Muestra'!$C$8:$C$42)-MIN(ROW('03.Muestra'!$D$8:$D$42))+1,""),ROW()-1842)),"")</f>
        <v/>
      </c>
      <c r="C1854" s="114" t="str" cm="1">
        <f t="array" ref="C1854">IFERROR(INDEX('03.Muestra'!$F$8:$F$42,SMALL(IF("Página Web"='03.Muestra'!$D$8:$D$42,ROW('03.Muestra'!$F$8:$F$42)-MIN(ROW('03.Muestra'!$D$8:$D$42))+1,""),ROW()-1842)),"")</f>
        <v/>
      </c>
      <c r="D1854" s="130" t="str">
        <f t="shared" si="97"/>
        <v/>
      </c>
      <c r="E1854" s="107" t="str">
        <f t="shared" si="96"/>
        <v/>
      </c>
      <c r="F1854" s="19"/>
      <c r="G1854" s="19"/>
      <c r="H1854" s="19"/>
      <c r="I1854" s="19"/>
      <c r="J1854" s="19"/>
      <c r="K1854" s="233"/>
    </row>
    <row r="1855" spans="1:11" ht="12" customHeight="1">
      <c r="A1855" s="219" t="str" cm="1">
        <f t="array" ref="A1855">IFERROR(INDEX('03.Muestra'!$B$8:$B$42,SMALL(IF("Página Web"='03.Muestra'!$D$8:$D$42,ROW('03.Muestra'!$B$8:$B$42)-MIN(ROW('03.Muestra'!$D$8:$D$42))+1,""),ROW()-1842)),"")</f>
        <v/>
      </c>
      <c r="B1855" s="114" t="str" cm="1">
        <f t="array" ref="B1855">IFERROR(INDEX('03.Muestra'!$C$8:$C$42,SMALL(IF("Página Web"='03.Muestra'!$D$8:$D$42,ROW('03.Muestra'!$C$8:$C$42)-MIN(ROW('03.Muestra'!$D$8:$D$42))+1,""),ROW()-1842)),"")</f>
        <v/>
      </c>
      <c r="C1855" s="114" t="str" cm="1">
        <f t="array" ref="C1855">IFERROR(INDEX('03.Muestra'!$F$8:$F$42,SMALL(IF("Página Web"='03.Muestra'!$D$8:$D$42,ROW('03.Muestra'!$F$8:$F$42)-MIN(ROW('03.Muestra'!$D$8:$D$42))+1,""),ROW()-1842)),"")</f>
        <v/>
      </c>
      <c r="D1855" s="130" t="str">
        <f t="shared" si="97"/>
        <v/>
      </c>
      <c r="E1855" s="107" t="str">
        <f t="shared" si="96"/>
        <v/>
      </c>
      <c r="F1855" s="19"/>
      <c r="G1855" s="19"/>
      <c r="H1855" s="19"/>
      <c r="I1855" s="19"/>
      <c r="J1855" s="19"/>
      <c r="K1855" s="233"/>
    </row>
    <row r="1856" spans="1:11" ht="12" customHeight="1">
      <c r="A1856" s="219" t="str" cm="1">
        <f t="array" ref="A1856">IFERROR(INDEX('03.Muestra'!$B$8:$B$42,SMALL(IF("Página Web"='03.Muestra'!$D$8:$D$42,ROW('03.Muestra'!$B$8:$B$42)-MIN(ROW('03.Muestra'!$D$8:$D$42))+1,""),ROW()-1842)),"")</f>
        <v/>
      </c>
      <c r="B1856" s="114" t="str" cm="1">
        <f t="array" ref="B1856">IFERROR(INDEX('03.Muestra'!$C$8:$C$42,SMALL(IF("Página Web"='03.Muestra'!$D$8:$D$42,ROW('03.Muestra'!$C$8:$C$42)-MIN(ROW('03.Muestra'!$D$8:$D$42))+1,""),ROW()-1842)),"")</f>
        <v/>
      </c>
      <c r="C1856" s="114" t="str" cm="1">
        <f t="array" ref="C1856">IFERROR(INDEX('03.Muestra'!$F$8:$F$42,SMALL(IF("Página Web"='03.Muestra'!$D$8:$D$42,ROW('03.Muestra'!$F$8:$F$42)-MIN(ROW('03.Muestra'!$D$8:$D$42))+1,""),ROW()-1842)),"")</f>
        <v/>
      </c>
      <c r="D1856" s="130" t="str">
        <f t="shared" si="97"/>
        <v/>
      </c>
      <c r="E1856" s="107" t="str">
        <f t="shared" si="96"/>
        <v/>
      </c>
      <c r="F1856" s="19"/>
      <c r="G1856" s="19"/>
      <c r="H1856" s="19"/>
      <c r="I1856" s="19"/>
      <c r="J1856" s="19"/>
      <c r="K1856" s="233"/>
    </row>
    <row r="1857" spans="1:11" ht="12" customHeight="1">
      <c r="A1857" s="219" t="str" cm="1">
        <f t="array" ref="A1857">IFERROR(INDEX('03.Muestra'!$B$8:$B$42,SMALL(IF("Página Web"='03.Muestra'!$D$8:$D$42,ROW('03.Muestra'!$B$8:$B$42)-MIN(ROW('03.Muestra'!$D$8:$D$42))+1,""),ROW()-1842)),"")</f>
        <v/>
      </c>
      <c r="B1857" s="114" t="str" cm="1">
        <f t="array" ref="B1857">IFERROR(INDEX('03.Muestra'!$C$8:$C$42,SMALL(IF("Página Web"='03.Muestra'!$D$8:$D$42,ROW('03.Muestra'!$C$8:$C$42)-MIN(ROW('03.Muestra'!$D$8:$D$42))+1,""),ROW()-1842)),"")</f>
        <v/>
      </c>
      <c r="C1857" s="114" t="str" cm="1">
        <f t="array" ref="C1857">IFERROR(INDEX('03.Muestra'!$F$8:$F$42,SMALL(IF("Página Web"='03.Muestra'!$D$8:$D$42,ROW('03.Muestra'!$F$8:$F$42)-MIN(ROW('03.Muestra'!$D$8:$D$42))+1,""),ROW()-1842)),"")</f>
        <v/>
      </c>
      <c r="D1857" s="130" t="str">
        <f t="shared" si="97"/>
        <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si="97"/>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Servicios e información</v>
      </c>
      <c r="C1882" s="114" t="str" cm="1">
        <f t="array" ref="C1882">IFERROR(INDEX('03.Muestra'!$F$8:$F$42,SMALL(IF("Página Web"='03.Muestra'!$D$8:$D$42,ROW('03.Muestra'!$F$8:$F$42)-MIN(ROW('03.Muestra'!$D$8:$D$42))+1,""),ROW()-1880)),"")</f>
        <v>https://www.comunidad.madrid/servicios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10</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Cultura y turismo</v>
      </c>
      <c r="C1883" s="114" t="str" cm="1">
        <f t="array" ref="C1883">IFERROR(INDEX('03.Muestra'!$F$8:$F$42,SMALL(IF("Página Web"='03.Muestra'!$D$8:$D$42,ROW('03.Muestra'!$F$8:$F$42)-MIN(ROW('03.Muestra'!$D$8:$D$42))+1,""),ROW()-1880)),"")</f>
        <v>https://www.comunidad.madrid/cultura</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Inversión y empresa</v>
      </c>
      <c r="C1884" s="114" t="str" cm="1">
        <f t="array" ref="C1884">IFERROR(INDEX('03.Muestra'!$F$8:$F$42,SMALL(IF("Página Web"='03.Muestra'!$D$8:$D$42,ROW('03.Muestra'!$F$8:$F$42)-MIN(ROW('03.Muestra'!$D$8:$D$42))+1,""),ROW()-1880)),"")</f>
        <v>https://www.comunidad.madrid/inversion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Acción de gobierno</v>
      </c>
      <c r="C1885" s="114" t="str" cm="1">
        <f t="array" ref="C1885">IFERROR(INDEX('03.Muestra'!$F$8:$F$42,SMALL(IF("Página Web"='03.Muestra'!$D$8:$D$42,ROW('03.Muestra'!$F$8:$F$42)-MIN(ROW('03.Muestra'!$D$8:$D$42))+1,""),ROW()-1880)),"")</f>
        <v>https://www.comunidad.madrid/gobierno</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Video</v>
      </c>
      <c r="C1886" s="114" t="str" cm="1">
        <f t="array" ref="C1886">IFERROR(INDEX('03.Muestra'!$F$8:$F$42,SMALL(IF("Página Web"='03.Muestra'!$D$8:$D$42,ROW('03.Muestra'!$F$8:$F$42)-MIN(ROW('03.Muestra'!$D$8:$D$42))+1,""),ROW()-1880)),"")</f>
        <v>https://www.comunidad.madrid/noticias/2023/12/18/diaz-ayuso-reconoce-35-personas-han-realizado-actuaciones-extraordinarias-ayuda-servicio-metro-este-ano-representan-valores-madrid</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Contacto</v>
      </c>
      <c r="C1887" s="114" t="str" cm="1">
        <f t="array" ref="C1887">IFERROR(INDEX('03.Muestra'!$F$8:$F$42,SMALL(IF("Página Web"='03.Muestra'!$D$8:$D$42,ROW('03.Muestra'!$F$8:$F$42)-MIN(ROW('03.Muestra'!$D$8:$D$42))+1,""),ROW()-1880)),"")</f>
        <v>https://www.comunidad.madrid/servicios/atencion-ciudadano</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Aviso Legal</v>
      </c>
      <c r="C1888" s="114" t="str" cm="1">
        <f t="array" ref="C1888">IFERROR(INDEX('03.Muestra'!$F$8:$F$42,SMALL(IF("Página Web"='03.Muestra'!$D$8:$D$42,ROW('03.Muestra'!$F$8:$F$42)-MIN(ROW('03.Muestra'!$D$8:$D$42))+1,""),ROW()-1880)),"")</f>
        <v>https://www.comunidad.madrid/servicios/informacion-atencion-ciudadano/aviso-legal-privacidad</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Mapa web</v>
      </c>
      <c r="C1889" s="114" t="str" cm="1">
        <f t="array" ref="C1889">IFERROR(INDEX('03.Muestra'!$F$8:$F$42,SMALL(IF("Página Web"='03.Muestra'!$D$8:$D$42,ROW('03.Muestra'!$F$8:$F$42)-MIN(ROW('03.Muestra'!$D$8:$D$42))+1,""),ROW()-1880)),"")</f>
        <v>https://www.comunidad.madrid/sitemap</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Accesibilidad</v>
      </c>
      <c r="C1890" s="114" t="str" cm="1">
        <f t="array" ref="C1890">IFERROR(INDEX('03.Muestra'!$F$8:$F$42,SMALL(IF("Página Web"='03.Muestra'!$D$8:$D$42,ROW('03.Muestra'!$F$8:$F$42)-MIN(ROW('03.Muestra'!$D$8:$D$42))+1,""),ROW()-1880)),"")</f>
        <v>https://www.comunidad.madrid/servicios/informacion-atencion-ciudadano/accesibilidad-web</v>
      </c>
      <c r="D1890" s="130" t="s">
        <v>28</v>
      </c>
      <c r="E1890" s="107" t="str">
        <f t="shared" si="98"/>
        <v/>
      </c>
      <c r="F1890" s="19"/>
      <c r="G1890" s="19"/>
      <c r="H1890" s="19"/>
      <c r="I1890" s="19"/>
      <c r="J1890" s="19"/>
      <c r="K1890" s="233"/>
    </row>
    <row r="1891" spans="1:11" ht="12" customHeight="1">
      <c r="A1891" s="219" t="str" cm="1">
        <f t="array" ref="A1891">IFERROR(INDEX('03.Muestra'!$B$8:$B$42,SMALL(IF("Página Web"='03.Muestra'!$D$8:$D$42,ROW('03.Muestra'!$B$8:$B$42)-MIN(ROW('03.Muestra'!$D$8:$D$42))+1,""),ROW()-1880)),"")</f>
        <v/>
      </c>
      <c r="B1891" s="114" t="str" cm="1">
        <f t="array" ref="B1891">IFERROR(INDEX('03.Muestra'!$C$8:$C$42,SMALL(IF("Página Web"='03.Muestra'!$D$8:$D$42,ROW('03.Muestra'!$C$8:$C$42)-MIN(ROW('03.Muestra'!$D$8:$D$42))+1,""),ROW()-1880)),"")</f>
        <v/>
      </c>
      <c r="C1891" s="114" t="str" cm="1">
        <f t="array" ref="C1891">IFERROR(INDEX('03.Muestra'!$F$8:$F$42,SMALL(IF("Página Web"='03.Muestra'!$D$8:$D$42,ROW('03.Muestra'!$F$8:$F$42)-MIN(ROW('03.Muestra'!$D$8:$D$42))+1,""),ROW()-1880)),"")</f>
        <v/>
      </c>
      <c r="D1891" s="130" t="str">
        <f t="shared" ref="D1891:D1915" si="99">IF(AND(B1891&lt;&gt;"",C1891&lt;&gt;""),"N/T","")</f>
        <v/>
      </c>
      <c r="E1891" s="107" t="str">
        <f t="shared" si="98"/>
        <v/>
      </c>
      <c r="F1891" s="19"/>
      <c r="G1891" s="19"/>
      <c r="H1891" s="19"/>
      <c r="I1891" s="19"/>
      <c r="J1891" s="19"/>
      <c r="K1891" s="233"/>
    </row>
    <row r="1892" spans="1:11" ht="12" customHeight="1">
      <c r="A1892" s="219" t="str" cm="1">
        <f t="array" ref="A1892">IFERROR(INDEX('03.Muestra'!$B$8:$B$42,SMALL(IF("Página Web"='03.Muestra'!$D$8:$D$42,ROW('03.Muestra'!$B$8:$B$42)-MIN(ROW('03.Muestra'!$D$8:$D$42))+1,""),ROW()-1880)),"")</f>
        <v/>
      </c>
      <c r="B1892" s="114" t="str" cm="1">
        <f t="array" ref="B1892">IFERROR(INDEX('03.Muestra'!$C$8:$C$42,SMALL(IF("Página Web"='03.Muestra'!$D$8:$D$42,ROW('03.Muestra'!$C$8:$C$42)-MIN(ROW('03.Muestra'!$D$8:$D$42))+1,""),ROW()-1880)),"")</f>
        <v/>
      </c>
      <c r="C1892" s="114" t="str" cm="1">
        <f t="array" ref="C1892">IFERROR(INDEX('03.Muestra'!$F$8:$F$42,SMALL(IF("Página Web"='03.Muestra'!$D$8:$D$42,ROW('03.Muestra'!$F$8:$F$42)-MIN(ROW('03.Muestra'!$D$8:$D$42))+1,""),ROW()-1880)),"")</f>
        <v/>
      </c>
      <c r="D1892" s="130" t="str">
        <f t="shared" si="99"/>
        <v/>
      </c>
      <c r="E1892" s="107" t="str">
        <f t="shared" si="98"/>
        <v/>
      </c>
      <c r="F1892" s="19"/>
      <c r="G1892" s="19"/>
      <c r="H1892" s="19"/>
      <c r="I1892" s="19"/>
      <c r="J1892" s="19"/>
      <c r="K1892" s="233"/>
    </row>
    <row r="1893" spans="1:11" ht="12" customHeight="1">
      <c r="A1893" s="219" t="str" cm="1">
        <f t="array" ref="A1893">IFERROR(INDEX('03.Muestra'!$B$8:$B$42,SMALL(IF("Página Web"='03.Muestra'!$D$8:$D$42,ROW('03.Muestra'!$B$8:$B$42)-MIN(ROW('03.Muestra'!$D$8:$D$42))+1,""),ROW()-1880)),"")</f>
        <v/>
      </c>
      <c r="B1893" s="114" t="str" cm="1">
        <f t="array" ref="B1893">IFERROR(INDEX('03.Muestra'!$C$8:$C$42,SMALL(IF("Página Web"='03.Muestra'!$D$8:$D$42,ROW('03.Muestra'!$C$8:$C$42)-MIN(ROW('03.Muestra'!$D$8:$D$42))+1,""),ROW()-1880)),"")</f>
        <v/>
      </c>
      <c r="C1893" s="114" t="str" cm="1">
        <f t="array" ref="C1893">IFERROR(INDEX('03.Muestra'!$F$8:$F$42,SMALL(IF("Página Web"='03.Muestra'!$D$8:$D$42,ROW('03.Muestra'!$F$8:$F$42)-MIN(ROW('03.Muestra'!$D$8:$D$42))+1,""),ROW()-1880)),"")</f>
        <v/>
      </c>
      <c r="D1893" s="130" t="str">
        <f t="shared" si="99"/>
        <v/>
      </c>
      <c r="E1893" s="107" t="str">
        <f t="shared" si="98"/>
        <v/>
      </c>
      <c r="F1893" s="19"/>
      <c r="G1893" s="19"/>
      <c r="H1893" s="19"/>
      <c r="I1893" s="19"/>
      <c r="J1893" s="19"/>
      <c r="K1893" s="233"/>
    </row>
    <row r="1894" spans="1:11" ht="12" customHeight="1">
      <c r="A1894" s="219" t="str" cm="1">
        <f t="array" ref="A1894">IFERROR(INDEX('03.Muestra'!$B$8:$B$42,SMALL(IF("Página Web"='03.Muestra'!$D$8:$D$42,ROW('03.Muestra'!$B$8:$B$42)-MIN(ROW('03.Muestra'!$D$8:$D$42))+1,""),ROW()-1880)),"")</f>
        <v/>
      </c>
      <c r="B1894" s="114" t="str" cm="1">
        <f t="array" ref="B1894">IFERROR(INDEX('03.Muestra'!$C$8:$C$42,SMALL(IF("Página Web"='03.Muestra'!$D$8:$D$42,ROW('03.Muestra'!$C$8:$C$42)-MIN(ROW('03.Muestra'!$D$8:$D$42))+1,""),ROW()-1880)),"")</f>
        <v/>
      </c>
      <c r="C1894" s="114" t="str" cm="1">
        <f t="array" ref="C1894">IFERROR(INDEX('03.Muestra'!$F$8:$F$42,SMALL(IF("Página Web"='03.Muestra'!$D$8:$D$42,ROW('03.Muestra'!$F$8:$F$42)-MIN(ROW('03.Muestra'!$D$8:$D$42))+1,""),ROW()-1880)),"")</f>
        <v/>
      </c>
      <c r="D1894" s="130" t="str">
        <f t="shared" si="99"/>
        <v/>
      </c>
      <c r="E1894" s="107" t="str">
        <f t="shared" si="98"/>
        <v/>
      </c>
      <c r="F1894" s="19"/>
      <c r="G1894" s="19"/>
      <c r="H1894" s="19"/>
      <c r="I1894" s="19"/>
      <c r="J1894" s="19"/>
      <c r="K1894" s="233"/>
    </row>
    <row r="1895" spans="1:11" ht="12" customHeight="1">
      <c r="A1895" s="219" t="str" cm="1">
        <f t="array" ref="A1895">IFERROR(INDEX('03.Muestra'!$B$8:$B$42,SMALL(IF("Página Web"='03.Muestra'!$D$8:$D$42,ROW('03.Muestra'!$B$8:$B$42)-MIN(ROW('03.Muestra'!$D$8:$D$42))+1,""),ROW()-1880)),"")</f>
        <v/>
      </c>
      <c r="B1895" s="114" t="str" cm="1">
        <f t="array" ref="B1895">IFERROR(INDEX('03.Muestra'!$C$8:$C$42,SMALL(IF("Página Web"='03.Muestra'!$D$8:$D$42,ROW('03.Muestra'!$C$8:$C$42)-MIN(ROW('03.Muestra'!$D$8:$D$42))+1,""),ROW()-1880)),"")</f>
        <v/>
      </c>
      <c r="C1895" s="114" t="str" cm="1">
        <f t="array" ref="C1895">IFERROR(INDEX('03.Muestra'!$F$8:$F$42,SMALL(IF("Página Web"='03.Muestra'!$D$8:$D$42,ROW('03.Muestra'!$F$8:$F$42)-MIN(ROW('03.Muestra'!$D$8:$D$42))+1,""),ROW()-1880)),"")</f>
        <v/>
      </c>
      <c r="D1895" s="130" t="str">
        <f t="shared" si="99"/>
        <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si="99"/>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2" zoomScaleNormal="100" workbookViewId="0">
      <selection activeCell="N2" sqref="N2"/>
    </sheetView>
  </sheetViews>
  <sheetFormatPr baseColWidth="10" defaultColWidth="11.54296875" defaultRowHeight="12.5"/>
  <cols>
    <col min="1" max="1" width="7.90625" style="14" customWidth="1"/>
    <col min="2" max="2" width="16.08984375" style="14" customWidth="1"/>
    <col min="3" max="3" width="56" style="14" customWidth="1"/>
    <col min="4" max="4" width="18.36328125" style="113" customWidth="1"/>
    <col min="5" max="5" width="5.54296875" style="113" customWidth="1"/>
    <col min="6" max="6" width="16.453125" style="14" bestFit="1" customWidth="1"/>
    <col min="7" max="7" width="14.6328125" style="14" customWidth="1"/>
    <col min="8" max="8" width="12.54296875" style="14" customWidth="1"/>
    <col min="9" max="9" width="11.6328125" style="14" customWidth="1"/>
    <col min="10" max="10" width="17.36328125" style="14" bestFit="1" customWidth="1"/>
    <col min="11" max="11" width="14.54296875" style="14" customWidth="1"/>
    <col min="12" max="12" width="12.54296875" style="14" customWidth="1"/>
    <col min="13" max="13" width="19.90625" style="14" customWidth="1"/>
    <col min="14" max="15" width="12.54296875" style="14" customWidth="1"/>
    <col min="16" max="16" width="19.54296875" style="14" customWidth="1"/>
    <col min="17" max="17" width="6.90625" style="14" customWidth="1"/>
    <col min="18" max="18" width="4.6328125" style="14" customWidth="1"/>
    <col min="19" max="19" width="12.90625" style="14" customWidth="1"/>
    <col min="20" max="20" width="12.08984375" style="14" customWidth="1"/>
    <col min="21" max="21" width="6.6328125" style="14" customWidth="1"/>
    <col min="22" max="22" width="5.54296875" style="14" customWidth="1"/>
    <col min="23" max="23" width="12" style="14" customWidth="1"/>
    <col min="24" max="24" width="11.90625" style="14" customWidth="1"/>
    <col min="25" max="25" width="7.36328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7.9"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7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8.899999999999999" customHeight="1">
      <c r="B8" s="268" t="s">
        <v>271</v>
      </c>
      <c r="C8" s="268"/>
      <c r="D8" s="268"/>
      <c r="E8" s="268"/>
      <c r="F8" s="268"/>
      <c r="G8" s="268"/>
      <c r="H8" s="268"/>
      <c r="I8" s="268"/>
      <c r="J8" s="268"/>
      <c r="K8" s="268"/>
      <c r="L8" s="268"/>
      <c r="M8" s="268"/>
      <c r="N8" s="19"/>
      <c r="O8" s="19"/>
    </row>
    <row r="9" spans="1:64" ht="24" customHeight="1">
      <c r="B9" s="267" t="s">
        <v>472</v>
      </c>
      <c r="C9" s="267"/>
      <c r="D9" s="267"/>
      <c r="E9" s="267"/>
      <c r="F9" s="267"/>
      <c r="G9" s="267"/>
      <c r="H9" s="267"/>
      <c r="I9" s="267"/>
      <c r="J9" s="267"/>
      <c r="K9" s="267"/>
      <c r="L9" s="267"/>
      <c r="M9" s="267"/>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5" t="s">
        <v>152</v>
      </c>
      <c r="C11" s="266"/>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7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2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2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2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2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2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2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2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2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2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2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2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2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2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2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2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2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2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2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2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2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2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2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2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2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7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5"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268</v>
      </c>
      <c r="B1614" s="24" t="s">
        <v>90</v>
      </c>
      <c r="C1614" s="25" t="s">
        <v>464</v>
      </c>
      <c r="D1614" s="26" t="s">
        <v>32</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268</v>
      </c>
      <c r="B1652" s="24" t="s">
        <v>90</v>
      </c>
      <c r="C1652" s="25" t="s">
        <v>465</v>
      </c>
      <c r="D1652" s="26" t="s">
        <v>32</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268</v>
      </c>
      <c r="B1690" s="24" t="s">
        <v>90</v>
      </c>
      <c r="C1690" s="25" t="s">
        <v>466</v>
      </c>
      <c r="D1690" s="26" t="s">
        <v>32</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2026-06-18T09:54:52Z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MSIP_Label_ecb69475-382c-4c7a-b21d-8ca64eeef1bd_Enabled">
    <vt:lpwstr>true</vt:lpwstr>
  </property>
  <property fmtid="{D5CDD505-2E9C-101B-9397-08002B2CF9AE}" pid="10" name="MSIP_Label_ecb69475-382c-4c7a-b21d-8ca64eeef1bd_SetDate">
    <vt:lpwstr>2023-12-20T08:24:01Z</vt:lpwstr>
  </property>
  <property fmtid="{D5CDD505-2E9C-101B-9397-08002B2CF9AE}" pid="11" name="MSIP_Label_ecb69475-382c-4c7a-b21d-8ca64eeef1bd_Method">
    <vt:lpwstr>Standard</vt:lpwstr>
  </property>
  <property fmtid="{D5CDD505-2E9C-101B-9397-08002B2CF9AE}" pid="12" name="MSIP_Label_ecb69475-382c-4c7a-b21d-8ca64eeef1bd_Name">
    <vt:lpwstr>Eviden For Internal Use - All Employees</vt:lpwstr>
  </property>
  <property fmtid="{D5CDD505-2E9C-101B-9397-08002B2CF9AE}" pid="13" name="MSIP_Label_ecb69475-382c-4c7a-b21d-8ca64eeef1bd_SiteId">
    <vt:lpwstr>7d1c7785-2d8a-437d-b842-1ed5d8fbe00a</vt:lpwstr>
  </property>
  <property fmtid="{D5CDD505-2E9C-101B-9397-08002B2CF9AE}" pid="14" name="MSIP_Label_ecb69475-382c-4c7a-b21d-8ca64eeef1bd_ActionId">
    <vt:lpwstr>6bd308cf-5cad-4eba-bc5f-2df76a7d35a1</vt:lpwstr>
  </property>
  <property fmtid="{D5CDD505-2E9C-101B-9397-08002B2CF9AE}" pid="15" name="MSIP_Label_ecb69475-382c-4c7a-b21d-8ca64eeef1bd_ContentBits">
    <vt:lpwstr>0</vt:lpwstr>
  </property>
</Properties>
</file>